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tabRatio="501" activeTab="0"/>
  </bookViews>
  <sheets>
    <sheet name="Классный журнал" sheetId="1" r:id="rId1"/>
    <sheet name="Статистика" sheetId="2" r:id="rId2"/>
    <sheet name="Статистика за год" sheetId="3" r:id="rId3"/>
    <sheet name="Распечатки" sheetId="4" r:id="rId4"/>
  </sheets>
  <definedNames>
    <definedName name="_xlnm.Print_Area" localSheetId="0">'Классный журнал'!$C$2:$AA$225</definedName>
    <definedName name="_xlnm.Print_Area" localSheetId="3">'Распечатки'!$A$1:$T$108</definedName>
    <definedName name="_xlnm.Print_Area" localSheetId="1">'Статистика'!$A$4:$X$295</definedName>
    <definedName name="_xlnm.Print_Area" localSheetId="2">'Статистика за год'!$A$3:$T$64</definedName>
  </definedNames>
  <calcPr fullCalcOnLoad="1"/>
</workbook>
</file>

<file path=xl/sharedStrings.xml><?xml version="1.0" encoding="utf-8"?>
<sst xmlns="http://schemas.openxmlformats.org/spreadsheetml/2006/main" count="821" uniqueCount="265">
  <si>
    <t>Статистика</t>
  </si>
  <si>
    <t>№ 
п/п</t>
  </si>
  <si>
    <t>Фамилия, имя</t>
  </si>
  <si>
    <t>Дата</t>
  </si>
  <si>
    <t>Алешкевич Денис</t>
  </si>
  <si>
    <t>н</t>
  </si>
  <si>
    <t>н/б</t>
  </si>
  <si>
    <t>н/у</t>
  </si>
  <si>
    <t>Бавеян Рафик</t>
  </si>
  <si>
    <t>Бахметьев Михаил</t>
  </si>
  <si>
    <t>Валеев Руслан</t>
  </si>
  <si>
    <t>Власов Владимир</t>
  </si>
  <si>
    <t>Головина Дарья</t>
  </si>
  <si>
    <t>Добрынин Павел</t>
  </si>
  <si>
    <t>Жарков Егор</t>
  </si>
  <si>
    <t>Заева Владлена</t>
  </si>
  <si>
    <t>Игошева Анастасия</t>
  </si>
  <si>
    <t>Казанцев Андрей</t>
  </si>
  <si>
    <t>Кравченко Кристина</t>
  </si>
  <si>
    <t>Кротков Александр</t>
  </si>
  <si>
    <t>Кузнецова Екатерина</t>
  </si>
  <si>
    <t>Курило Павел</t>
  </si>
  <si>
    <t>Максимкина Татьяна</t>
  </si>
  <si>
    <t>Малахова Ксения</t>
  </si>
  <si>
    <t>Марсуверских Михаил</t>
  </si>
  <si>
    <t>Никифоров Алексей</t>
  </si>
  <si>
    <t>Панченко Олеся</t>
  </si>
  <si>
    <t>Перцев Владимир</t>
  </si>
  <si>
    <t>Плешивцев Виталий</t>
  </si>
  <si>
    <t>Савинов Александр</t>
  </si>
  <si>
    <t>Фадеева Виктория</t>
  </si>
  <si>
    <t>Шестопалова Алёна</t>
  </si>
  <si>
    <t>Журнал-9А</t>
  </si>
  <si>
    <t>Авт.Савельев Г.В.</t>
  </si>
  <si>
    <t>Уроков в четверти      -</t>
  </si>
  <si>
    <t>Оценка</t>
  </si>
  <si>
    <t>Количество 
оценок</t>
  </si>
  <si>
    <t>Сумма 
баллов</t>
  </si>
  <si>
    <t>Средний 
балл</t>
  </si>
  <si>
    <t>Количество пропусков</t>
  </si>
  <si>
    <t>"5"</t>
  </si>
  <si>
    <t>"4"</t>
  </si>
  <si>
    <t>"3"</t>
  </si>
  <si>
    <t>"2"</t>
  </si>
  <si>
    <t>"1"</t>
  </si>
  <si>
    <t>по болезни</t>
  </si>
  <si>
    <t>ув.причина</t>
  </si>
  <si>
    <t>прогул</t>
  </si>
  <si>
    <t>всего</t>
  </si>
  <si>
    <t>СРЕДНИЙ БАЛЛ:</t>
  </si>
  <si>
    <t>ВСЕГО:</t>
  </si>
  <si>
    <t>Механическое движение</t>
  </si>
  <si>
    <t>Перемещение</t>
  </si>
  <si>
    <t>Определение координаты</t>
  </si>
  <si>
    <t>Перемещение при ПРД</t>
  </si>
  <si>
    <t>РУД. Ускорение</t>
  </si>
  <si>
    <t>Перемещение при РУД</t>
  </si>
  <si>
    <t>Перемещение при РУД 
из состояния покоя</t>
  </si>
  <si>
    <t>Решение задач</t>
  </si>
  <si>
    <t>Относительность движения</t>
  </si>
  <si>
    <t>Первый закон Ньютона</t>
  </si>
  <si>
    <t>Второй закон Ньютона</t>
  </si>
  <si>
    <t>Третий закон Ньютона</t>
  </si>
  <si>
    <t>Свободное падение тел</t>
  </si>
  <si>
    <t>§1, Упр.1 (1-3)</t>
  </si>
  <si>
    <t>2, Упр.2 (1,2)</t>
  </si>
  <si>
    <t>§3, Упр.3 (1)</t>
  </si>
  <si>
    <t>§4, Упр.4(1,2)</t>
  </si>
  <si>
    <t>§5, Упр.5(1-3)</t>
  </si>
  <si>
    <t>Домашнее задание</t>
  </si>
  <si>
    <t>§6, Упр.6 (4,5)</t>
  </si>
  <si>
    <t>§7, Упр.7 (1-3)</t>
  </si>
  <si>
    <t>§9, Упр.9 (1-3)</t>
  </si>
  <si>
    <t>Упр.9 (4,5)</t>
  </si>
  <si>
    <t>§10, Упр.10</t>
  </si>
  <si>
    <t>§11, Упр.11 (1,2)</t>
  </si>
  <si>
    <t>§12, Упр.12(1-3)</t>
  </si>
  <si>
    <t>§13, Упр.13(1,3)</t>
  </si>
  <si>
    <t>Абсолютная</t>
  </si>
  <si>
    <t>Качественная</t>
  </si>
  <si>
    <t>Степень обученности</t>
  </si>
  <si>
    <r>
      <t>I четв
(</t>
    </r>
    <r>
      <rPr>
        <b/>
        <sz val="10"/>
        <rFont val="Arial Cyr"/>
        <family val="0"/>
      </rPr>
      <t>рекоменд)</t>
    </r>
  </si>
  <si>
    <t xml:space="preserve">ТЕМЫ УРОКОВ </t>
  </si>
  <si>
    <t>Оценки за 
II четверть</t>
  </si>
  <si>
    <t>Оценки за 
III четверть</t>
  </si>
  <si>
    <t>Оценки за 
IV четверть</t>
  </si>
  <si>
    <t>За год</t>
  </si>
  <si>
    <t>I</t>
  </si>
  <si>
    <t>II</t>
  </si>
  <si>
    <t>III</t>
  </si>
  <si>
    <t>IV</t>
  </si>
  <si>
    <t>Уроков в году      -</t>
  </si>
  <si>
    <r>
      <t>III четв
(</t>
    </r>
    <r>
      <rPr>
        <b/>
        <sz val="10"/>
        <rFont val="Arial Cyr"/>
        <family val="0"/>
      </rPr>
      <t>рекоменд)</t>
    </r>
  </si>
  <si>
    <r>
      <t>IV четв
(</t>
    </r>
    <r>
      <rPr>
        <b/>
        <sz val="10"/>
        <rFont val="Arial Cyr"/>
        <family val="0"/>
      </rPr>
      <t>рекоменд)</t>
    </r>
  </si>
  <si>
    <t xml:space="preserve"> Закон всемирного тяготения. </t>
  </si>
  <si>
    <t xml:space="preserve"> Искусственные спутники Земли.</t>
  </si>
  <si>
    <t xml:space="preserve"> Реактивное движение. Ракеты</t>
  </si>
  <si>
    <t xml:space="preserve"> Решение задач</t>
  </si>
  <si>
    <t xml:space="preserve"> Прямолинейное и криволинейное движение. 
Равномерное движение тела по окружности.</t>
  </si>
  <si>
    <t xml:space="preserve"> Решение задач "Равномерное движение 
тела по окружности"</t>
  </si>
  <si>
    <t xml:space="preserve"> Колебательное движение. 
Колебательные системы. Маятник.</t>
  </si>
  <si>
    <t xml:space="preserve"> Величины, характеризующие 
колебательные движения.</t>
  </si>
  <si>
    <t xml:space="preserve"> Превращение энергии при 
колебательном движении. Резонанс.</t>
  </si>
  <si>
    <t>§8, Упр.8 (1,2), 
подг. к л.р.</t>
  </si>
  <si>
    <t>№2, 3, 11, 17, 63Р. 
Подг. к к.р.</t>
  </si>
  <si>
    <t>№ 201, 207Р</t>
  </si>
  <si>
    <t>§15,  Упр. 15 (1,2)</t>
  </si>
  <si>
    <t>§19, Упр. 18 (4,5)</t>
  </si>
  <si>
    <t>§14, Упр. 14, 
подг. к л.р. №2</t>
  </si>
  <si>
    <t xml:space="preserve">§16,  Упр. 16(1-4), 
№173, 176Р </t>
  </si>
  <si>
    <t>§18,19,  Упр. 17 (1,2), 
Упр. 18 (1,2)</t>
  </si>
  <si>
    <t>§20, Упр. 19 выучить 
записи в тетради</t>
  </si>
  <si>
    <t>§ 21,22, Упр. 20(2),
 Упр. 21(2)</t>
  </si>
  <si>
    <t>§23,  Упр. 21 (2), 
схема ракеты</t>
  </si>
  <si>
    <t>подготовиться 
к к.р. №2</t>
  </si>
  <si>
    <r>
      <t>§</t>
    </r>
    <r>
      <rPr>
        <sz val="12"/>
        <rFont val="Times New Roman"/>
        <family val="1"/>
      </rPr>
      <t>27-30</t>
    </r>
  </si>
  <si>
    <r>
      <t>§</t>
    </r>
    <r>
      <rPr>
        <sz val="12"/>
        <rFont val="Times New Roman"/>
        <family val="1"/>
      </rPr>
      <t>24,25, Упр. 26 (1)</t>
    </r>
  </si>
  <si>
    <r>
      <t>§</t>
    </r>
    <r>
      <rPr>
        <sz val="12"/>
        <rFont val="Times New Roman"/>
        <family val="1"/>
      </rPr>
      <t>26,  Упр.  24(2-4) подг. к л.р. №3</t>
    </r>
  </si>
  <si>
    <t>§27 Упр. 24 (6)</t>
  </si>
  <si>
    <t>Длина волны. Скорость 
распространения волны.</t>
  </si>
  <si>
    <t xml:space="preserve"> Звуковые колебания: 
источники и характеристики.</t>
  </si>
  <si>
    <t xml:space="preserve"> Высота и тембр звука. 
Громкость звука</t>
  </si>
  <si>
    <t xml:space="preserve"> Распространение звука. 
Звуковые волны. Скорость звука</t>
  </si>
  <si>
    <t xml:space="preserve"> Отражение звука. 
Эхо. Звуковой резонанс.</t>
  </si>
  <si>
    <t xml:space="preserve"> Обобщение по теме 
"Механические колебания и волны. Звук".</t>
  </si>
  <si>
    <t xml:space="preserve">Магнитное поле, его графическое изображение. </t>
  </si>
  <si>
    <t xml:space="preserve"> Направление тока и направление линий его магнитного поля.</t>
  </si>
  <si>
    <t xml:space="preserve"> Сила, действующая на проводник с током. Правило левой руки.</t>
  </si>
  <si>
    <t xml:space="preserve"> Индукция магнитного поля.</t>
  </si>
  <si>
    <t xml:space="preserve"> Магнитный поток.</t>
  </si>
  <si>
    <t xml:space="preserve"> Явление электромагнитной индукции. </t>
  </si>
  <si>
    <t xml:space="preserve"> Получение переменного электрического тока.</t>
  </si>
  <si>
    <t xml:space="preserve"> Электромагнитное поле.</t>
  </si>
  <si>
    <t xml:space="preserve"> Электромагнитные волны.</t>
  </si>
  <si>
    <t xml:space="preserve"> Обобщение по теме "Электромагнитные явления".</t>
  </si>
  <si>
    <t xml:space="preserve"> Радиоактивность как свидетельство сложного строения атома.</t>
  </si>
  <si>
    <t xml:space="preserve"> Модели атомов. Опыты Резерфорда.</t>
  </si>
  <si>
    <t xml:space="preserve"> Радиоактивные превращения атомных ядер.</t>
  </si>
  <si>
    <t xml:space="preserve"> Экспериментальные методы исследования частиц.</t>
  </si>
  <si>
    <t xml:space="preserve"> Открытие протона. Откры­тие нейтрона.</t>
  </si>
  <si>
    <t xml:space="preserve"> Энергия связи. Дефект масс. </t>
  </si>
  <si>
    <t>Решение задач "Энергия связи. Дефект масс".</t>
  </si>
  <si>
    <t xml:space="preserve"> Деление ядра урана. Цепная реакция.</t>
  </si>
  <si>
    <t xml:space="preserve"> Ядерный реактор. Атомная энергетика. </t>
  </si>
  <si>
    <t xml:space="preserve"> Термоядерная реакция. </t>
  </si>
  <si>
    <t xml:space="preserve"> Обобщение по теме "Строе­ние атома и атомного ядра".</t>
  </si>
  <si>
    <t xml:space="preserve"> Биологическое действие радиации. Получение и применение радиоактивных изотопов.</t>
  </si>
  <si>
    <t xml:space="preserve">Распространение колебаний в среде. Волны. Виды волн. </t>
  </si>
  <si>
    <r>
      <t>§</t>
    </r>
    <r>
      <rPr>
        <sz val="12"/>
        <rFont val="Times New Roman"/>
        <family val="1"/>
      </rPr>
      <t>31,32</t>
    </r>
  </si>
  <si>
    <r>
      <t>§</t>
    </r>
    <r>
      <rPr>
        <sz val="12"/>
        <rFont val="Times New Roman"/>
        <family val="1"/>
      </rPr>
      <t>41, подготовиться к к.р.</t>
    </r>
  </si>
  <si>
    <r>
      <t>§</t>
    </r>
    <r>
      <rPr>
        <sz val="12"/>
        <rFont val="Times New Roman"/>
        <family val="1"/>
      </rPr>
      <t>33, Упр. 28 (1-3)</t>
    </r>
  </si>
  <si>
    <r>
      <t>§</t>
    </r>
    <r>
      <rPr>
        <sz val="12"/>
        <rFont val="Times New Roman"/>
        <family val="1"/>
      </rPr>
      <t>34,  №410,439Р записи в тетради</t>
    </r>
  </si>
  <si>
    <r>
      <t>§</t>
    </r>
    <r>
      <rPr>
        <sz val="12"/>
        <rFont val="Times New Roman"/>
        <family val="1"/>
      </rPr>
      <t>35,36 Упр. 30</t>
    </r>
  </si>
  <si>
    <r>
      <t>§</t>
    </r>
    <r>
      <rPr>
        <sz val="12"/>
        <rFont val="Times New Roman"/>
        <family val="1"/>
      </rPr>
      <t>37, 38 Упр. 32 (1,2, 5)</t>
    </r>
  </si>
  <si>
    <t>§39, 40,  
Упр. 32 (3-4)</t>
  </si>
  <si>
    <t>§43,44</t>
  </si>
  <si>
    <t>§45, Упр. 35 (1,3,4)</t>
  </si>
  <si>
    <t>§46,  Упр. 36 (1-4)</t>
  </si>
  <si>
    <t>§47,  Упр. 37 (1,2)</t>
  </si>
  <si>
    <t>§48, Упр.38(2)</t>
  </si>
  <si>
    <t>§49, Упр. 39.</t>
  </si>
  <si>
    <t>§50</t>
  </si>
  <si>
    <t>§51,Упр. 41</t>
  </si>
  <si>
    <t>§52-54,  сообщение</t>
  </si>
  <si>
    <t xml:space="preserve">Заполнить таблицу. </t>
  </si>
  <si>
    <t>§55</t>
  </si>
  <si>
    <t>§56</t>
  </si>
  <si>
    <r>
      <t>§</t>
    </r>
    <r>
      <rPr>
        <sz val="12"/>
        <rFont val="Times New Roman"/>
        <family val="1"/>
      </rPr>
      <t>58, сообщ.</t>
    </r>
  </si>
  <si>
    <r>
      <t>§</t>
    </r>
    <r>
      <rPr>
        <sz val="12"/>
        <rFont val="Times New Roman"/>
        <family val="1"/>
      </rPr>
      <t>59,60</t>
    </r>
  </si>
  <si>
    <r>
      <t>§</t>
    </r>
    <r>
      <rPr>
        <sz val="12"/>
        <rFont val="Times New Roman"/>
        <family val="1"/>
      </rPr>
      <t>61,62,64</t>
    </r>
  </si>
  <si>
    <r>
      <t>§</t>
    </r>
    <r>
      <rPr>
        <sz val="12"/>
        <rFont val="Times New Roman"/>
        <family val="1"/>
      </rPr>
      <t>65</t>
    </r>
  </si>
  <si>
    <r>
      <t>№1117,1113</t>
    </r>
    <r>
      <rPr>
        <sz val="12"/>
        <rFont val="Arial"/>
        <family val="2"/>
      </rPr>
      <t>Р</t>
    </r>
  </si>
  <si>
    <r>
      <t>§</t>
    </r>
    <r>
      <rPr>
        <sz val="12"/>
        <rFont val="Times New Roman"/>
        <family val="1"/>
      </rPr>
      <t>66, 67</t>
    </r>
  </si>
  <si>
    <r>
      <t>§</t>
    </r>
    <r>
      <rPr>
        <sz val="12"/>
        <rFont val="Times New Roman"/>
        <family val="1"/>
      </rPr>
      <t>68, 69, схема</t>
    </r>
  </si>
  <si>
    <r>
      <t>§</t>
    </r>
    <r>
      <rPr>
        <sz val="12"/>
        <rFont val="Times New Roman"/>
        <family val="1"/>
      </rPr>
      <t>70, 71</t>
    </r>
  </si>
  <si>
    <r>
      <t>§</t>
    </r>
    <r>
      <rPr>
        <sz val="12"/>
        <rFont val="Times New Roman"/>
        <family val="1"/>
      </rPr>
      <t>72</t>
    </r>
  </si>
  <si>
    <r>
      <t>Л.р. №1</t>
    </r>
    <r>
      <rPr>
        <sz val="10"/>
        <rFont val="Arial Cyr"/>
        <family val="2"/>
      </rPr>
      <t xml:space="preserve"> "Исследование РУД 
без начальой скорости"</t>
    </r>
  </si>
  <si>
    <r>
      <t>К.р. №1</t>
    </r>
    <r>
      <rPr>
        <sz val="10"/>
        <rFont val="Arial Cyr"/>
        <family val="2"/>
      </rPr>
      <t xml:space="preserve"> "Кинематика 
материальной точки"</t>
    </r>
  </si>
  <si>
    <r>
      <t xml:space="preserve"> К.р. №2</t>
    </r>
    <r>
      <rPr>
        <sz val="10"/>
        <rFont val="Arial Cyr"/>
        <family val="2"/>
      </rPr>
      <t xml:space="preserve"> ( по материалу параграфов 9-23) </t>
    </r>
  </si>
  <si>
    <r>
      <t xml:space="preserve"> Л.р.№4</t>
    </r>
    <r>
      <rPr>
        <sz val="10"/>
        <rFont val="Arial Cyr"/>
        <family val="2"/>
      </rPr>
      <t xml:space="preserve"> "Изучение явления ЭМИ".</t>
    </r>
  </si>
  <si>
    <r>
      <t xml:space="preserve"> К.р.№3</t>
    </r>
    <r>
      <rPr>
        <sz val="10"/>
        <rFont val="Arial Cyr"/>
        <family val="2"/>
      </rPr>
      <t xml:space="preserve"> по теме 
" Механические колебания и волны. Звук".</t>
    </r>
  </si>
  <si>
    <r>
      <t xml:space="preserve"> К.р.№4</t>
    </r>
    <r>
      <rPr>
        <sz val="10"/>
        <rFont val="Arial Cyr"/>
        <family val="2"/>
      </rPr>
      <t xml:space="preserve"> по теме " Электромагнитные явления".</t>
    </r>
  </si>
  <si>
    <r>
      <t xml:space="preserve"> К.р.№6</t>
    </r>
    <r>
      <rPr>
        <sz val="10"/>
        <rFont val="Arial Cyr"/>
        <family val="2"/>
      </rPr>
      <t xml:space="preserve"> за курс 9 класса.</t>
    </r>
  </si>
  <si>
    <t>Рейтинг
I-я четв</t>
  </si>
  <si>
    <t>Рейтинг
с нач.года</t>
  </si>
  <si>
    <t>Количество
оценок 
за четверть</t>
  </si>
  <si>
    <t>§57, Упр. 43 (3-5)</t>
  </si>
  <si>
    <t>Рейтинг
за год</t>
  </si>
  <si>
    <t>Рейтинг
IV четв.</t>
  </si>
  <si>
    <t>Рейтинг
III четв.</t>
  </si>
  <si>
    <t>Уроков в неделю</t>
  </si>
  <si>
    <t>Скорость и график 
скорости при РУД</t>
  </si>
  <si>
    <t>Движение тела, брошенного 
вертикально вверх</t>
  </si>
  <si>
    <r>
      <t>Л.р. №2</t>
    </r>
    <r>
      <rPr>
        <sz val="10"/>
        <rFont val="Arial Cyr"/>
        <family val="2"/>
      </rPr>
      <t xml:space="preserve"> «Исследование 
свободного падения»</t>
    </r>
  </si>
  <si>
    <t>Ускорение свободного падения 
на Земле и других небесных телах.</t>
  </si>
  <si>
    <t xml:space="preserve"> Импульс тела. Закон 
сохранения импульса.</t>
  </si>
  <si>
    <r>
      <t xml:space="preserve"> Л.р.№3</t>
    </r>
    <r>
      <rPr>
        <sz val="10"/>
        <rFont val="Arial Cyr"/>
        <family val="2"/>
      </rPr>
      <t xml:space="preserve"> "Исследование зависимости 
периода и частоты свободных колебаний 
нитяного маятника от его длины".</t>
    </r>
  </si>
  <si>
    <t xml:space="preserve"> Состав ядра атома. 
Ядерные силы.</t>
  </si>
  <si>
    <r>
      <t xml:space="preserve"> К.р.№5</t>
    </r>
    <r>
      <rPr>
        <sz val="10"/>
        <rFont val="Arial Cyr"/>
        <family val="2"/>
      </rPr>
      <t xml:space="preserve"> по теме " Строение 
атома и атомного ядра".</t>
    </r>
  </si>
  <si>
    <t>Аттестовано</t>
  </si>
  <si>
    <t>Дано уроков в четверти      -</t>
  </si>
  <si>
    <t>Учебных недель в четверти      -</t>
  </si>
  <si>
    <t>Полных недель в четверти</t>
  </si>
  <si>
    <t>Учитель</t>
  </si>
  <si>
    <t>Иванова Н.П.</t>
  </si>
  <si>
    <r>
      <t xml:space="preserve">Повт. </t>
    </r>
    <r>
      <rPr>
        <sz val="12"/>
        <rFont val="News Gothic MT"/>
        <family val="2"/>
      </rPr>
      <t>§5</t>
    </r>
    <r>
      <rPr>
        <sz val="12"/>
        <rFont val="Times New Roman"/>
        <family val="1"/>
      </rPr>
      <t>5 - 63</t>
    </r>
  </si>
  <si>
    <t>Сведения об успеваемости по</t>
  </si>
  <si>
    <t>на</t>
  </si>
  <si>
    <t>ФИЗИКА</t>
  </si>
  <si>
    <r>
      <t xml:space="preserve">Классный журнал
9 А класса   
</t>
    </r>
    <r>
      <rPr>
        <u val="single"/>
        <sz val="16"/>
        <rFont val="Arial Cyr"/>
        <family val="2"/>
      </rPr>
      <t>ФИЗИКА</t>
    </r>
    <r>
      <rPr>
        <sz val="16"/>
        <rFont val="Arial Cyr"/>
        <family val="2"/>
      </rPr>
      <t xml:space="preserve">
</t>
    </r>
    <r>
      <rPr>
        <b/>
        <sz val="16"/>
        <rFont val="Arial Cyr"/>
        <family val="2"/>
      </rPr>
      <t>I - я четверть</t>
    </r>
  </si>
  <si>
    <r>
      <t xml:space="preserve">Классный журнал
9 А класса   
</t>
    </r>
    <r>
      <rPr>
        <u val="single"/>
        <sz val="16"/>
        <rFont val="Arial Cyr"/>
        <family val="2"/>
      </rPr>
      <t>ФИЗИКА</t>
    </r>
    <r>
      <rPr>
        <sz val="16"/>
        <rFont val="Arial Cyr"/>
        <family val="2"/>
      </rPr>
      <t xml:space="preserve">
</t>
    </r>
    <r>
      <rPr>
        <b/>
        <sz val="16"/>
        <rFont val="Arial Cyr"/>
        <family val="2"/>
      </rPr>
      <t>II - я четверть</t>
    </r>
  </si>
  <si>
    <r>
      <t xml:space="preserve">Классный журнал
9 А класса   
</t>
    </r>
    <r>
      <rPr>
        <u val="single"/>
        <sz val="16"/>
        <rFont val="Arial Cyr"/>
        <family val="2"/>
      </rPr>
      <t>ФИЗИКА</t>
    </r>
    <r>
      <rPr>
        <sz val="16"/>
        <rFont val="Arial Cyr"/>
        <family val="2"/>
      </rPr>
      <t xml:space="preserve">
</t>
    </r>
    <r>
      <rPr>
        <b/>
        <sz val="16"/>
        <rFont val="Arial Cyr"/>
        <family val="2"/>
      </rPr>
      <t>III - я четверть</t>
    </r>
  </si>
  <si>
    <r>
      <t xml:space="preserve">Классный журнал
9 А класса   
</t>
    </r>
    <r>
      <rPr>
        <u val="single"/>
        <sz val="16"/>
        <rFont val="Arial Cyr"/>
        <family val="2"/>
      </rPr>
      <t>ФИЗИКА</t>
    </r>
    <r>
      <rPr>
        <sz val="16"/>
        <rFont val="Arial Cyr"/>
        <family val="2"/>
      </rPr>
      <t xml:space="preserve">
</t>
    </r>
    <r>
      <rPr>
        <b/>
        <sz val="16"/>
        <rFont val="Arial Cyr"/>
        <family val="2"/>
      </rPr>
      <t>IV - я четверть</t>
    </r>
  </si>
  <si>
    <t>I-я
четв.</t>
  </si>
  <si>
    <t>Статистика 
Физика.</t>
  </si>
  <si>
    <t>9А</t>
  </si>
  <si>
    <t>Учащихся на 
начало четверти:</t>
  </si>
  <si>
    <t>Прибыло:</t>
  </si>
  <si>
    <t>Выбыло:</t>
  </si>
  <si>
    <t>Егоров Иван</t>
  </si>
  <si>
    <t>Мало оценок</t>
  </si>
  <si>
    <t>Неуспевающий</t>
  </si>
  <si>
    <t>Оценки 
за I четверть</t>
  </si>
  <si>
    <t>Уч-ся на 
конец четверти</t>
  </si>
  <si>
    <t>Журнал-I четв</t>
  </si>
  <si>
    <t>II-я
четв.</t>
  </si>
  <si>
    <t>Журнал-II четв</t>
  </si>
  <si>
    <t>Хорошисты:</t>
  </si>
  <si>
    <t>Неуспевающие:</t>
  </si>
  <si>
    <t>Неатестованы</t>
  </si>
  <si>
    <t>III-я
четв.</t>
  </si>
  <si>
    <t>IV-я
четв.</t>
  </si>
  <si>
    <r>
      <t>II четв
(</t>
    </r>
    <r>
      <rPr>
        <b/>
        <sz val="10"/>
        <rFont val="Arial Cyr"/>
        <family val="0"/>
      </rPr>
      <t>рекоменд)</t>
    </r>
  </si>
  <si>
    <t>Рейтинг
II-я четв</t>
  </si>
  <si>
    <t>Степанов Олег</t>
  </si>
  <si>
    <t>Сидоров Глеб</t>
  </si>
  <si>
    <t>Средний балл:</t>
  </si>
  <si>
    <t>Всего:</t>
  </si>
  <si>
    <t>Итоги обучения</t>
  </si>
  <si>
    <t>Прибыло</t>
  </si>
  <si>
    <t>Выбыло</t>
  </si>
  <si>
    <t>Учащихся на начало четверти (года)</t>
  </si>
  <si>
    <t>Учащихся на конец четверти (года)</t>
  </si>
  <si>
    <t>н/а</t>
  </si>
  <si>
    <t>Из них аттестовано</t>
  </si>
  <si>
    <t>Оценки 
по четвертям</t>
  </si>
  <si>
    <t>Физика.</t>
  </si>
  <si>
    <t>9 А</t>
  </si>
  <si>
    <t xml:space="preserve"> класс</t>
  </si>
  <si>
    <t>2006-07</t>
  </si>
  <si>
    <t xml:space="preserve"> учебный год</t>
  </si>
  <si>
    <t>Абсолютная успеваемость, %</t>
  </si>
  <si>
    <t>Качественная успеваемость,%</t>
  </si>
  <si>
    <t>Степень обученности, %</t>
  </si>
  <si>
    <t>Учитель:</t>
  </si>
  <si>
    <t>-</t>
  </si>
  <si>
    <t>Выбывшие -, прибывшие +</t>
  </si>
  <si>
    <t>+</t>
  </si>
  <si>
    <t>Бузгин Иван</t>
  </si>
  <si>
    <t>Грачёв Михаил</t>
  </si>
  <si>
    <t>Есин Пётр</t>
  </si>
  <si>
    <t>Котова Мария</t>
  </si>
  <si>
    <t>Отличники:</t>
  </si>
  <si>
    <t>Алексеева Настя</t>
  </si>
  <si>
    <t>Богоутдинов Данил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</si>
</sst>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  <numFmt numFmtId="165" formatCode="[$-F800]dddd\,\ mmmm\ dd\,\ yyyy"/>
    <numFmt numFmtId="166" formatCode="[$-FC19]d\ mmmm\ yyyy\ &quot;г.&quot;"/>
    <numFmt numFmtId="167" formatCode="0.000"/>
    <numFmt numFmtId="168" formatCode="[$-419]d\ mmm;@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;0;;@"/>
    <numFmt numFmtId="175" formatCode="dd/mm/yy;@"/>
    <numFmt numFmtId="176" formatCode="h:mm:ss;@"/>
  </numFmts>
  <fonts count="28">
    <font>
      <sz val="10"/>
      <name val="Arial Cyr"/>
      <family val="0"/>
    </font>
    <font>
      <sz val="16"/>
      <name val="Arial Cyr"/>
      <family val="2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u val="single"/>
      <sz val="16"/>
      <name val="Arial Cyr"/>
      <family val="2"/>
    </font>
    <font>
      <sz val="14"/>
      <name val="Times New Roman"/>
      <family val="1"/>
    </font>
    <font>
      <sz val="12"/>
      <name val="Arial Cyr"/>
      <family val="0"/>
    </font>
    <font>
      <b/>
      <sz val="14"/>
      <name val="Arial Cyr"/>
      <family val="2"/>
    </font>
    <font>
      <u val="single"/>
      <sz val="10"/>
      <color indexed="36"/>
      <name val="Arial Cyr"/>
      <family val="0"/>
    </font>
    <font>
      <b/>
      <sz val="14"/>
      <color indexed="10"/>
      <name val="Arial Cyr"/>
      <family val="2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"/>
      <family val="2"/>
    </font>
    <font>
      <sz val="12"/>
      <name val="News Gothic MT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b/>
      <sz val="12"/>
      <name val="Arial Cyr"/>
      <family val="0"/>
    </font>
    <font>
      <sz val="18"/>
      <color indexed="10"/>
      <name val="Times New Roman"/>
      <family val="1"/>
    </font>
    <font>
      <u val="single"/>
      <sz val="16"/>
      <name val="Arial Cyr"/>
      <family val="2"/>
    </font>
    <font>
      <b/>
      <sz val="16"/>
      <name val="Arial Cyr"/>
      <family val="2"/>
    </font>
    <font>
      <b/>
      <u val="single"/>
      <sz val="24"/>
      <name val="Arial Cyr"/>
      <family val="2"/>
    </font>
    <font>
      <sz val="11"/>
      <color indexed="10"/>
      <name val="Arial Cyr"/>
      <family val="2"/>
    </font>
    <font>
      <sz val="20"/>
      <name val="Arial Cyr"/>
      <family val="0"/>
    </font>
    <font>
      <b/>
      <sz val="16"/>
      <color indexed="10"/>
      <name val="Arial Cyr"/>
      <family val="2"/>
    </font>
    <font>
      <b/>
      <sz val="14"/>
      <color indexed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 locked="0"/>
    </xf>
    <xf numFmtId="16" fontId="4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/>
    </xf>
    <xf numFmtId="165" fontId="7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3" xfId="15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0" fillId="2" borderId="7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167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/>
      <protection/>
    </xf>
    <xf numFmtId="167" fontId="8" fillId="2" borderId="9" xfId="0" applyNumberFormat="1" applyFont="1" applyFill="1" applyBorder="1" applyAlignment="1" applyProtection="1">
      <alignment horizontal="center" vertical="center" wrapText="1"/>
      <protection/>
    </xf>
    <xf numFmtId="167" fontId="8" fillId="2" borderId="10" xfId="0" applyNumberFormat="1" applyFont="1" applyFill="1" applyBorder="1" applyAlignment="1" applyProtection="1">
      <alignment horizontal="left" vertical="center" wrapText="1"/>
      <protection/>
    </xf>
    <xf numFmtId="0" fontId="8" fillId="2" borderId="9" xfId="0" applyFont="1" applyFill="1" applyBorder="1" applyAlignment="1" applyProtection="1">
      <alignment horizontal="center" vertical="center" wrapText="1"/>
      <protection/>
    </xf>
    <xf numFmtId="0" fontId="8" fillId="2" borderId="1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10" fontId="4" fillId="2" borderId="7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4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2" borderId="17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/>
      <protection/>
    </xf>
    <xf numFmtId="167" fontId="8" fillId="2" borderId="20" xfId="0" applyNumberFormat="1" applyFont="1" applyFill="1" applyBorder="1" applyAlignment="1" applyProtection="1">
      <alignment horizontal="left" vertical="center"/>
      <protection/>
    </xf>
    <xf numFmtId="0" fontId="0" fillId="2" borderId="9" xfId="0" applyFill="1" applyBorder="1" applyAlignment="1">
      <alignment/>
    </xf>
    <xf numFmtId="0" fontId="0" fillId="0" borderId="0" xfId="0" applyBorder="1" applyAlignment="1" applyProtection="1">
      <alignment horizontal="center" vertical="center" textRotation="90"/>
      <protection locked="0"/>
    </xf>
    <xf numFmtId="10" fontId="4" fillId="0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2" borderId="21" xfId="0" applyFont="1" applyFill="1" applyBorder="1" applyAlignment="1" applyProtection="1">
      <alignment/>
      <protection/>
    </xf>
    <xf numFmtId="167" fontId="8" fillId="2" borderId="22" xfId="0" applyNumberFormat="1" applyFont="1" applyFill="1" applyBorder="1" applyAlignment="1" applyProtection="1">
      <alignment horizontal="center" vertical="center" wrapText="1"/>
      <protection/>
    </xf>
    <xf numFmtId="167" fontId="8" fillId="2" borderId="23" xfId="0" applyNumberFormat="1" applyFont="1" applyFill="1" applyBorder="1" applyAlignment="1" applyProtection="1">
      <alignment horizontal="left" vertical="center" wrapText="1"/>
      <protection/>
    </xf>
    <xf numFmtId="0" fontId="8" fillId="2" borderId="20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16" fontId="1" fillId="4" borderId="25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0" borderId="26" xfId="0" applyFont="1" applyBorder="1" applyAlignment="1">
      <alignment/>
    </xf>
    <xf numFmtId="0" fontId="7" fillId="0" borderId="6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27" xfId="0" applyFont="1" applyBorder="1" applyAlignment="1">
      <alignment/>
    </xf>
    <xf numFmtId="0" fontId="19" fillId="0" borderId="26" xfId="0" applyFont="1" applyBorder="1" applyAlignment="1">
      <alignment/>
    </xf>
    <xf numFmtId="175" fontId="7" fillId="0" borderId="26" xfId="0" applyNumberFormat="1" applyFont="1" applyBorder="1" applyAlignment="1">
      <alignment horizontal="center" vertical="center"/>
    </xf>
    <xf numFmtId="175" fontId="7" fillId="0" borderId="28" xfId="0" applyNumberFormat="1" applyFont="1" applyBorder="1" applyAlignment="1">
      <alignment horizontal="center" vertical="center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23" fillId="2" borderId="11" xfId="0" applyFont="1" applyFill="1" applyBorder="1" applyAlignment="1" applyProtection="1">
      <alignment horizontal="center" vertical="center" wrapText="1"/>
      <protection locked="0"/>
    </xf>
    <xf numFmtId="0" fontId="22" fillId="2" borderId="11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 locked="0"/>
    </xf>
    <xf numFmtId="1" fontId="22" fillId="5" borderId="19" xfId="0" applyNumberFormat="1" applyFont="1" applyFill="1" applyBorder="1" applyAlignment="1" applyProtection="1">
      <alignment horizontal="center" vertical="center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/>
      <protection locked="0"/>
    </xf>
    <xf numFmtId="0" fontId="4" fillId="2" borderId="7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 textRotation="90"/>
      <protection locked="0"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7" fillId="0" borderId="31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/>
    </xf>
    <xf numFmtId="0" fontId="7" fillId="0" borderId="1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/>
    </xf>
    <xf numFmtId="0" fontId="7" fillId="0" borderId="6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7" fillId="0" borderId="15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/>
    </xf>
    <xf numFmtId="168" fontId="7" fillId="0" borderId="27" xfId="0" applyNumberFormat="1" applyFont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2" fillId="0" borderId="1" xfId="15" applyBorder="1" applyAlignment="1" applyProtection="1">
      <alignment horizontal="center" vertical="center"/>
      <protection locked="0"/>
    </xf>
    <xf numFmtId="0" fontId="2" fillId="0" borderId="1" xfId="15" applyNumberFormat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1" fontId="22" fillId="3" borderId="19" xfId="0" applyNumberFormat="1" applyFont="1" applyFill="1" applyBorder="1" applyAlignment="1" applyProtection="1">
      <alignment horizontal="center" vertical="center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168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textRotation="90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textRotation="90" wrapText="1"/>
      <protection locked="0"/>
    </xf>
    <xf numFmtId="0" fontId="0" fillId="0" borderId="15" xfId="0" applyNumberFormat="1" applyBorder="1" applyAlignment="1" applyProtection="1">
      <alignment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/>
    </xf>
    <xf numFmtId="0" fontId="20" fillId="2" borderId="1" xfId="0" applyFont="1" applyFill="1" applyBorder="1" applyAlignment="1" applyProtection="1">
      <alignment horizontal="center" vertical="center"/>
      <protection/>
    </xf>
    <xf numFmtId="167" fontId="8" fillId="2" borderId="36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horizontal="center" vertical="center" wrapText="1"/>
      <protection/>
    </xf>
    <xf numFmtId="167" fontId="8" fillId="2" borderId="31" xfId="0" applyNumberFormat="1" applyFont="1" applyFill="1" applyBorder="1" applyAlignment="1" applyProtection="1">
      <alignment horizontal="left" vertical="center" wrapText="1"/>
      <protection/>
    </xf>
    <xf numFmtId="0" fontId="8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/>
      <protection locked="0"/>
    </xf>
    <xf numFmtId="10" fontId="4" fillId="2" borderId="12" xfId="0" applyNumberFormat="1" applyFont="1" applyFill="1" applyBorder="1" applyAlignment="1" applyProtection="1">
      <alignment horizontal="center" vertical="center" wrapText="1"/>
      <protection/>
    </xf>
    <xf numFmtId="164" fontId="4" fillId="0" borderId="3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7" borderId="1" xfId="0" applyFont="1" applyFill="1" applyBorder="1" applyAlignment="1" applyProtection="1">
      <alignment horizontal="center" vertical="center" wrapText="1"/>
      <protection/>
    </xf>
    <xf numFmtId="0" fontId="7" fillId="7" borderId="1" xfId="0" applyFont="1" applyFill="1" applyBorder="1" applyAlignment="1" applyProtection="1">
      <alignment horizontal="center" vertical="center" textRotation="90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2" borderId="13" xfId="0" applyFont="1" applyFill="1" applyBorder="1" applyAlignment="1" applyProtection="1">
      <alignment horizontal="center" vertical="center" wrapText="1"/>
      <protection/>
    </xf>
    <xf numFmtId="1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1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1" fontId="4" fillId="0" borderId="38" xfId="0" applyNumberFormat="1" applyFont="1" applyFill="1" applyBorder="1" applyAlignment="1" applyProtection="1">
      <alignment horizontal="center" vertical="center" wrapText="1"/>
      <protection/>
    </xf>
    <xf numFmtId="1" fontId="4" fillId="0" borderId="1" xfId="0" applyNumberFormat="1" applyFont="1" applyFill="1" applyBorder="1" applyAlignment="1" applyProtection="1">
      <alignment horizontal="center" vertical="center" wrapText="1"/>
      <protection/>
    </xf>
    <xf numFmtId="1" fontId="4" fillId="0" borderId="32" xfId="0" applyNumberFormat="1" applyFont="1" applyFill="1" applyBorder="1" applyAlignment="1" applyProtection="1">
      <alignment horizontal="center" vertical="center" wrapText="1"/>
      <protection/>
    </xf>
    <xf numFmtId="1" fontId="4" fillId="0" borderId="34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1" fontId="4" fillId="7" borderId="39" xfId="0" applyNumberFormat="1" applyFont="1" applyFill="1" applyBorder="1" applyAlignment="1" applyProtection="1">
      <alignment horizontal="center" vertical="center" wrapText="1"/>
      <protection/>
    </xf>
    <xf numFmtId="1" fontId="4" fillId="7" borderId="40" xfId="0" applyNumberFormat="1" applyFont="1" applyFill="1" applyBorder="1" applyAlignment="1" applyProtection="1">
      <alignment horizontal="center" vertical="center" wrapText="1"/>
      <protection/>
    </xf>
    <xf numFmtId="1" fontId="4" fillId="7" borderId="41" xfId="0" applyNumberFormat="1" applyFont="1" applyFill="1" applyBorder="1" applyAlignment="1" applyProtection="1">
      <alignment horizontal="center" vertical="center" wrapText="1"/>
      <protection/>
    </xf>
    <xf numFmtId="0" fontId="4" fillId="3" borderId="39" xfId="0" applyFont="1" applyFill="1" applyBorder="1" applyAlignment="1" applyProtection="1">
      <alignment horizontal="center" vertical="center" wrapText="1"/>
      <protection/>
    </xf>
    <xf numFmtId="0" fontId="4" fillId="3" borderId="40" xfId="0" applyFont="1" applyFill="1" applyBorder="1" applyAlignment="1" applyProtection="1">
      <alignment horizontal="center" vertical="center" wrapText="1"/>
      <protection/>
    </xf>
    <xf numFmtId="0" fontId="4" fillId="7" borderId="40" xfId="0" applyFont="1" applyFill="1" applyBorder="1" applyAlignment="1" applyProtection="1">
      <alignment horizontal="center" vertical="center" wrapText="1"/>
      <protection/>
    </xf>
    <xf numFmtId="0" fontId="4" fillId="8" borderId="40" xfId="0" applyFont="1" applyFill="1" applyBorder="1" applyAlignment="1" applyProtection="1">
      <alignment horizontal="center" vertical="center" wrapText="1"/>
      <protection/>
    </xf>
    <xf numFmtId="0" fontId="4" fillId="8" borderId="22" xfId="0" applyFont="1" applyFill="1" applyBorder="1" applyAlignment="1" applyProtection="1">
      <alignment horizontal="center" vertical="center" wrapText="1"/>
      <protection/>
    </xf>
    <xf numFmtId="0" fontId="22" fillId="3" borderId="11" xfId="0" applyFont="1" applyFill="1" applyBorder="1" applyAlignment="1" applyProtection="1">
      <alignment horizontal="center" vertical="center"/>
      <protection locked="0"/>
    </xf>
    <xf numFmtId="0" fontId="22" fillId="3" borderId="4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9" fillId="2" borderId="44" xfId="0" applyFont="1" applyFill="1" applyBorder="1" applyAlignment="1" applyProtection="1">
      <alignment horizontal="left" vertical="center" wrapText="1"/>
      <protection/>
    </xf>
    <xf numFmtId="2" fontId="4" fillId="0" borderId="4" xfId="0" applyNumberFormat="1" applyFont="1" applyBorder="1" applyAlignment="1" applyProtection="1">
      <alignment vertical="center" textRotation="90"/>
      <protection/>
    </xf>
    <xf numFmtId="2" fontId="4" fillId="0" borderId="3" xfId="0" applyNumberFormat="1" applyFont="1" applyBorder="1" applyAlignment="1" applyProtection="1">
      <alignment vertical="center" textRotation="90"/>
      <protection/>
    </xf>
    <xf numFmtId="2" fontId="4" fillId="0" borderId="38" xfId="0" applyNumberFormat="1" applyFont="1" applyBorder="1" applyAlignment="1" applyProtection="1">
      <alignment vertical="center" textRotation="90"/>
      <protection/>
    </xf>
    <xf numFmtId="2" fontId="4" fillId="0" borderId="45" xfId="0" applyNumberFormat="1" applyFont="1" applyBorder="1" applyAlignment="1" applyProtection="1">
      <alignment vertical="center" textRotation="90"/>
      <protection/>
    </xf>
    <xf numFmtId="2" fontId="4" fillId="0" borderId="9" xfId="0" applyNumberFormat="1" applyFont="1" applyBorder="1" applyAlignment="1" applyProtection="1">
      <alignment vertical="center" textRotation="90"/>
      <protection/>
    </xf>
    <xf numFmtId="2" fontId="4" fillId="0" borderId="8" xfId="0" applyNumberFormat="1" applyFont="1" applyBorder="1" applyAlignment="1" applyProtection="1">
      <alignment vertical="center" textRotation="90"/>
      <protection/>
    </xf>
    <xf numFmtId="2" fontId="4" fillId="0" borderId="46" xfId="0" applyNumberFormat="1" applyFont="1" applyBorder="1" applyAlignment="1" applyProtection="1">
      <alignment vertical="center" textRotation="90"/>
      <protection/>
    </xf>
    <xf numFmtId="2" fontId="4" fillId="0" borderId="0" xfId="0" applyNumberFormat="1" applyFont="1" applyBorder="1" applyAlignment="1" applyProtection="1">
      <alignment vertical="center" textRotation="90"/>
      <protection/>
    </xf>
    <xf numFmtId="2" fontId="4" fillId="0" borderId="47" xfId="0" applyNumberFormat="1" applyFont="1" applyBorder="1" applyAlignment="1" applyProtection="1">
      <alignment vertical="center" textRotation="90"/>
      <protection/>
    </xf>
    <xf numFmtId="2" fontId="4" fillId="7" borderId="39" xfId="0" applyNumberFormat="1" applyFont="1" applyFill="1" applyBorder="1" applyAlignment="1" applyProtection="1">
      <alignment vertical="center" textRotation="90"/>
      <protection/>
    </xf>
    <xf numFmtId="2" fontId="4" fillId="7" borderId="40" xfId="0" applyNumberFormat="1" applyFont="1" applyFill="1" applyBorder="1" applyAlignment="1" applyProtection="1">
      <alignment vertical="center" textRotation="90"/>
      <protection/>
    </xf>
    <xf numFmtId="2" fontId="4" fillId="7" borderId="41" xfId="0" applyNumberFormat="1" applyFont="1" applyFill="1" applyBorder="1" applyAlignment="1" applyProtection="1">
      <alignment vertical="center" textRotation="90"/>
      <protection/>
    </xf>
    <xf numFmtId="0" fontId="4" fillId="2" borderId="16" xfId="0" applyFont="1" applyFill="1" applyBorder="1" applyAlignment="1" applyProtection="1">
      <alignment/>
      <protection/>
    </xf>
    <xf numFmtId="0" fontId="4" fillId="2" borderId="48" xfId="0" applyFont="1" applyFill="1" applyBorder="1" applyAlignment="1" applyProtection="1">
      <alignment/>
      <protection/>
    </xf>
    <xf numFmtId="0" fontId="22" fillId="3" borderId="29" xfId="0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/>
      <protection locked="0"/>
    </xf>
    <xf numFmtId="0" fontId="1" fillId="0" borderId="49" xfId="0" applyFont="1" applyBorder="1" applyAlignment="1" applyProtection="1">
      <alignment horizontal="center" vertical="center" textRotation="90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textRotation="90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1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textRotation="90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textRotation="90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6" fontId="1" fillId="0" borderId="25" xfId="0" applyNumberFormat="1" applyFont="1" applyBorder="1" applyAlignment="1" applyProtection="1">
      <alignment horizontal="center" vertical="center" wrapText="1"/>
      <protection locked="0"/>
    </xf>
    <xf numFmtId="49" fontId="6" fillId="0" borderId="27" xfId="0" applyNumberFormat="1" applyFont="1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6" fillId="0" borderId="27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/>
    </xf>
    <xf numFmtId="0" fontId="4" fillId="4" borderId="0" xfId="0" applyNumberFormat="1" applyFont="1" applyFill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/>
      <protection locked="0"/>
    </xf>
    <xf numFmtId="0" fontId="27" fillId="0" borderId="6" xfId="0" applyFont="1" applyFill="1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27" fillId="0" borderId="2" xfId="0" applyFont="1" applyFill="1" applyBorder="1" applyAlignment="1" applyProtection="1">
      <alignment horizontal="center" vertical="center"/>
      <protection/>
    </xf>
    <xf numFmtId="0" fontId="27" fillId="0" borderId="31" xfId="0" applyFont="1" applyFill="1" applyBorder="1" applyAlignment="1" applyProtection="1">
      <alignment horizontal="center" vertical="center"/>
      <protection/>
    </xf>
    <xf numFmtId="164" fontId="25" fillId="4" borderId="54" xfId="0" applyNumberFormat="1" applyFont="1" applyFill="1" applyBorder="1" applyAlignment="1" applyProtection="1">
      <alignment/>
      <protection/>
    </xf>
    <xf numFmtId="0" fontId="0" fillId="0" borderId="42" xfId="0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165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5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67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textRotation="90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4" fillId="0" borderId="33" xfId="0" applyNumberFormat="1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13" fillId="0" borderId="5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 textRotation="90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/>
      <protection locked="0"/>
    </xf>
    <xf numFmtId="0" fontId="0" fillId="0" borderId="55" xfId="0" applyFont="1" applyBorder="1" applyAlignment="1" applyProtection="1">
      <alignment horizontal="center" textRotation="90"/>
      <protection locked="0"/>
    </xf>
    <xf numFmtId="49" fontId="4" fillId="0" borderId="33" xfId="0" applyNumberFormat="1" applyFont="1" applyBorder="1" applyAlignment="1" applyProtection="1">
      <alignment horizontal="left" vertical="center"/>
      <protection locked="0"/>
    </xf>
    <xf numFmtId="0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5" xfId="0" applyFont="1" applyFill="1" applyBorder="1" applyAlignment="1" applyProtection="1">
      <alignment horizontal="center" textRotation="90" wrapText="1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57" xfId="0" applyFont="1" applyFill="1" applyBorder="1" applyAlignment="1" applyProtection="1">
      <alignment horizontal="center" vertical="center" wrapText="1"/>
      <protection/>
    </xf>
    <xf numFmtId="0" fontId="0" fillId="2" borderId="48" xfId="0" applyFill="1" applyBorder="1" applyAlignment="1" applyProtection="1">
      <alignment/>
      <protection/>
    </xf>
    <xf numFmtId="0" fontId="0" fillId="2" borderId="30" xfId="0" applyFill="1" applyBorder="1" applyAlignment="1" applyProtection="1">
      <alignment horizontal="center" vertical="center"/>
      <protection/>
    </xf>
    <xf numFmtId="0" fontId="0" fillId="2" borderId="30" xfId="0" applyFill="1" applyBorder="1" applyAlignment="1" applyProtection="1">
      <alignment horizontal="right" vertical="center"/>
      <protection/>
    </xf>
    <xf numFmtId="0" fontId="0" fillId="2" borderId="44" xfId="0" applyFill="1" applyBorder="1" applyAlignment="1" applyProtection="1">
      <alignment horizontal="right" vertical="center"/>
      <protection/>
    </xf>
    <xf numFmtId="0" fontId="0" fillId="2" borderId="16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 vertical="center"/>
      <protection/>
    </xf>
    <xf numFmtId="0" fontId="0" fillId="2" borderId="58" xfId="0" applyFill="1" applyBorder="1" applyAlignment="1" applyProtection="1">
      <alignment horizontal="right" vertical="center"/>
      <protection/>
    </xf>
    <xf numFmtId="0" fontId="0" fillId="2" borderId="0" xfId="0" applyFill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164" fontId="8" fillId="0" borderId="0" xfId="0" applyNumberFormat="1" applyFont="1" applyAlignment="1" applyProtection="1">
      <alignment horizontal="center" vertical="center"/>
      <protection/>
    </xf>
    <xf numFmtId="0" fontId="4" fillId="2" borderId="15" xfId="0" applyFont="1" applyFill="1" applyBorder="1" applyAlignment="1" applyProtection="1">
      <alignment/>
      <protection/>
    </xf>
    <xf numFmtId="0" fontId="4" fillId="2" borderId="59" xfId="0" applyFont="1" applyFill="1" applyBorder="1" applyAlignment="1" applyProtection="1">
      <alignment/>
      <protection/>
    </xf>
    <xf numFmtId="0" fontId="4" fillId="2" borderId="55" xfId="0" applyFont="1" applyFill="1" applyBorder="1" applyAlignment="1" applyProtection="1">
      <alignment/>
      <protection/>
    </xf>
    <xf numFmtId="167" fontId="8" fillId="2" borderId="29" xfId="0" applyNumberFormat="1" applyFont="1" applyFill="1" applyBorder="1" applyAlignment="1" applyProtection="1">
      <alignment horizontal="center" vertical="center" wrapText="1"/>
      <protection/>
    </xf>
    <xf numFmtId="167" fontId="8" fillId="2" borderId="56" xfId="0" applyNumberFormat="1" applyFont="1" applyFill="1" applyBorder="1" applyAlignment="1" applyProtection="1">
      <alignment horizontal="center" vertical="center" wrapText="1"/>
      <protection/>
    </xf>
    <xf numFmtId="167" fontId="8" fillId="2" borderId="56" xfId="0" applyNumberFormat="1" applyFont="1" applyFill="1" applyBorder="1" applyAlignment="1" applyProtection="1">
      <alignment horizontal="center" vertical="center" wrapText="1"/>
      <protection/>
    </xf>
    <xf numFmtId="0" fontId="8" fillId="2" borderId="29" xfId="0" applyFont="1" applyFill="1" applyBorder="1" applyAlignment="1" applyProtection="1">
      <alignment horizontal="center" vertical="center" wrapText="1"/>
      <protection/>
    </xf>
    <xf numFmtId="0" fontId="8" fillId="2" borderId="56" xfId="0" applyFont="1" applyFill="1" applyBorder="1" applyAlignment="1" applyProtection="1">
      <alignment horizontal="center" vertical="center" wrapText="1"/>
      <protection/>
    </xf>
    <xf numFmtId="0" fontId="8" fillId="2" borderId="55" xfId="0" applyFont="1" applyFill="1" applyBorder="1" applyAlignment="1" applyProtection="1">
      <alignment horizontal="center" vertical="center" wrapText="1"/>
      <protection/>
    </xf>
    <xf numFmtId="0" fontId="8" fillId="2" borderId="6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4" fillId="0" borderId="14" xfId="0" applyFont="1" applyBorder="1" applyAlignment="1" applyProtection="1">
      <alignment horizontal="center" textRotation="90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textRotation="90"/>
      <protection locked="0"/>
    </xf>
    <xf numFmtId="0" fontId="4" fillId="0" borderId="6" xfId="0" applyFont="1" applyBorder="1" applyAlignment="1" applyProtection="1">
      <alignment horizontal="center" textRotation="90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56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7" fillId="2" borderId="29" xfId="0" applyFont="1" applyFill="1" applyBorder="1" applyAlignment="1" applyProtection="1">
      <alignment horizontal="center" vertical="center" wrapText="1"/>
      <protection/>
    </xf>
    <xf numFmtId="0" fontId="7" fillId="2" borderId="56" xfId="0" applyFont="1" applyFill="1" applyBorder="1" applyAlignment="1" applyProtection="1">
      <alignment horizontal="center" vertical="center"/>
      <protection/>
    </xf>
    <xf numFmtId="167" fontId="8" fillId="2" borderId="20" xfId="0" applyNumberFormat="1" applyFont="1" applyFill="1" applyBorder="1" applyAlignment="1" applyProtection="1">
      <alignment horizontal="center" vertical="center" wrapText="1"/>
      <protection/>
    </xf>
    <xf numFmtId="167" fontId="8" fillId="2" borderId="23" xfId="0" applyNumberFormat="1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63" xfId="0" applyFont="1" applyFill="1" applyBorder="1" applyAlignment="1" applyProtection="1">
      <alignment horizontal="center" vertical="center" wrapText="1"/>
      <protection/>
    </xf>
    <xf numFmtId="0" fontId="4" fillId="2" borderId="64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2" borderId="65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7" fillId="2" borderId="27" xfId="0" applyFont="1" applyFill="1" applyBorder="1" applyAlignment="1" applyProtection="1">
      <alignment horizontal="center" vertical="center" wrapText="1"/>
      <protection/>
    </xf>
    <xf numFmtId="0" fontId="7" fillId="2" borderId="26" xfId="0" applyFont="1" applyFill="1" applyBorder="1" applyAlignment="1" applyProtection="1">
      <alignment horizontal="center" vertical="center" wrapText="1"/>
      <protection/>
    </xf>
    <xf numFmtId="0" fontId="7" fillId="2" borderId="66" xfId="0" applyFont="1" applyFill="1" applyBorder="1" applyAlignment="1" applyProtection="1">
      <alignment horizontal="center" vertical="center" wrapText="1"/>
      <protection/>
    </xf>
    <xf numFmtId="0" fontId="7" fillId="2" borderId="28" xfId="0" applyFont="1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right" vertical="center"/>
      <protection/>
    </xf>
    <xf numFmtId="0" fontId="0" fillId="2" borderId="46" xfId="0" applyFill="1" applyBorder="1" applyAlignment="1" applyProtection="1">
      <alignment horizontal="right" vertical="center"/>
      <protection/>
    </xf>
    <xf numFmtId="0" fontId="7" fillId="2" borderId="56" xfId="0" applyFont="1" applyFill="1" applyBorder="1" applyAlignment="1" applyProtection="1">
      <alignment horizontal="center" vertical="center" wrapText="1"/>
      <protection/>
    </xf>
    <xf numFmtId="0" fontId="0" fillId="2" borderId="29" xfId="0" applyFont="1" applyFill="1" applyBorder="1" applyAlignment="1" applyProtection="1">
      <alignment horizontal="center" vertical="center" wrapText="1"/>
      <protection/>
    </xf>
    <xf numFmtId="0" fontId="0" fillId="2" borderId="56" xfId="0" applyFont="1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center" vertical="center"/>
      <protection/>
    </xf>
    <xf numFmtId="0" fontId="0" fillId="2" borderId="46" xfId="0" applyFill="1" applyBorder="1" applyAlignment="1" applyProtection="1">
      <alignment horizontal="center" vertical="center"/>
      <protection/>
    </xf>
    <xf numFmtId="0" fontId="18" fillId="2" borderId="38" xfId="0" applyFont="1" applyFill="1" applyBorder="1" applyAlignment="1" applyProtection="1">
      <alignment textRotation="90"/>
      <protection locked="0"/>
    </xf>
    <xf numFmtId="0" fontId="24" fillId="2" borderId="38" xfId="0" applyFont="1" applyFill="1" applyBorder="1" applyAlignment="1" applyProtection="1">
      <alignment textRotation="90"/>
      <protection locked="0"/>
    </xf>
    <xf numFmtId="0" fontId="24" fillId="2" borderId="37" xfId="0" applyFont="1" applyFill="1" applyBorder="1" applyAlignment="1" applyProtection="1">
      <alignment textRotation="90"/>
      <protection locked="0"/>
    </xf>
    <xf numFmtId="0" fontId="18" fillId="2" borderId="57" xfId="0" applyFont="1" applyFill="1" applyBorder="1" applyAlignment="1">
      <alignment textRotation="90"/>
    </xf>
    <xf numFmtId="0" fontId="18" fillId="2" borderId="67" xfId="0" applyFont="1" applyFill="1" applyBorder="1" applyAlignment="1">
      <alignment textRotation="90"/>
    </xf>
    <xf numFmtId="0" fontId="18" fillId="2" borderId="35" xfId="0" applyFont="1" applyFill="1" applyBorder="1" applyAlignment="1">
      <alignment textRotation="90"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167" fontId="8" fillId="2" borderId="10" xfId="0" applyNumberFormat="1" applyFont="1" applyFill="1" applyBorder="1" applyAlignment="1" applyProtection="1">
      <alignment horizontal="center" vertical="center" wrapText="1"/>
      <protection/>
    </xf>
    <xf numFmtId="167" fontId="8" fillId="2" borderId="8" xfId="0" applyNumberFormat="1" applyFont="1" applyFill="1" applyBorder="1" applyAlignment="1" applyProtection="1">
      <alignment horizontal="center" vertical="center" wrapText="1"/>
      <protection/>
    </xf>
    <xf numFmtId="0" fontId="4" fillId="2" borderId="68" xfId="0" applyFont="1" applyFill="1" applyBorder="1" applyAlignment="1" applyProtection="1">
      <alignment horizontal="center" vertical="center"/>
      <protection/>
    </xf>
    <xf numFmtId="0" fontId="4" fillId="2" borderId="66" xfId="0" applyFont="1" applyFill="1" applyBorder="1" applyAlignment="1" applyProtection="1">
      <alignment horizontal="center" vertical="center"/>
      <protection/>
    </xf>
    <xf numFmtId="0" fontId="4" fillId="2" borderId="31" xfId="0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horizontal="right" vertical="center"/>
      <protection/>
    </xf>
    <xf numFmtId="0" fontId="22" fillId="2" borderId="23" xfId="0" applyFont="1" applyFill="1" applyBorder="1" applyAlignment="1" applyProtection="1">
      <alignment horizontal="left" vertical="center" wrapText="1"/>
      <protection/>
    </xf>
    <xf numFmtId="0" fontId="22" fillId="2" borderId="24" xfId="0" applyFont="1" applyFill="1" applyBorder="1" applyAlignment="1" applyProtection="1">
      <alignment horizontal="left" vertical="center" wrapText="1"/>
      <protection/>
    </xf>
    <xf numFmtId="0" fontId="22" fillId="2" borderId="29" xfId="0" applyFont="1" applyFill="1" applyBorder="1" applyAlignment="1" applyProtection="1">
      <alignment horizontal="center" vertical="center"/>
      <protection/>
    </xf>
    <xf numFmtId="0" fontId="22" fillId="2" borderId="56" xfId="0" applyFont="1" applyFill="1" applyBorder="1" applyAlignment="1" applyProtection="1">
      <alignment horizontal="center" vertical="center"/>
      <protection/>
    </xf>
    <xf numFmtId="0" fontId="22" fillId="2" borderId="19" xfId="0" applyFont="1" applyFill="1" applyBorder="1" applyAlignment="1" applyProtection="1">
      <alignment horizontal="center" vertical="center"/>
      <protection/>
    </xf>
    <xf numFmtId="0" fontId="22" fillId="3" borderId="56" xfId="0" applyFont="1" applyFill="1" applyBorder="1" applyAlignment="1" applyProtection="1">
      <alignment horizontal="center" vertical="center"/>
      <protection locked="0"/>
    </xf>
    <xf numFmtId="0" fontId="22" fillId="3" borderId="19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right" vertical="center"/>
      <protection/>
    </xf>
    <xf numFmtId="0" fontId="1" fillId="7" borderId="48" xfId="0" applyFont="1" applyFill="1" applyBorder="1" applyAlignment="1" applyProtection="1">
      <alignment horizontal="center" vertical="center"/>
      <protection/>
    </xf>
    <xf numFmtId="0" fontId="1" fillId="7" borderId="30" xfId="0" applyFont="1" applyFill="1" applyBorder="1" applyAlignment="1" applyProtection="1">
      <alignment horizontal="center" vertical="center"/>
      <protection/>
    </xf>
    <xf numFmtId="0" fontId="1" fillId="7" borderId="69" xfId="0" applyFont="1" applyFill="1" applyBorder="1" applyAlignment="1" applyProtection="1">
      <alignment horizontal="center" vertical="center"/>
      <protection/>
    </xf>
    <xf numFmtId="0" fontId="1" fillId="7" borderId="16" xfId="0" applyFont="1" applyFill="1" applyBorder="1" applyAlignment="1" applyProtection="1">
      <alignment horizontal="center" vertical="center"/>
      <protection/>
    </xf>
    <xf numFmtId="0" fontId="1" fillId="7" borderId="0" xfId="0" applyFont="1" applyFill="1" applyBorder="1" applyAlignment="1" applyProtection="1">
      <alignment horizontal="center" vertical="center"/>
      <protection/>
    </xf>
    <xf numFmtId="0" fontId="1" fillId="7" borderId="45" xfId="0" applyFont="1" applyFill="1" applyBorder="1" applyAlignment="1" applyProtection="1">
      <alignment horizontal="center" vertical="center"/>
      <protection/>
    </xf>
    <xf numFmtId="0" fontId="1" fillId="7" borderId="43" xfId="0" applyFont="1" applyFill="1" applyBorder="1" applyAlignment="1" applyProtection="1">
      <alignment horizontal="center" vertical="center"/>
      <protection/>
    </xf>
    <xf numFmtId="0" fontId="1" fillId="7" borderId="23" xfId="0" applyFont="1" applyFill="1" applyBorder="1" applyAlignment="1" applyProtection="1">
      <alignment horizontal="center" vertical="center"/>
      <protection/>
    </xf>
    <xf numFmtId="0" fontId="1" fillId="7" borderId="21" xfId="0" applyFont="1" applyFill="1" applyBorder="1" applyAlignment="1" applyProtection="1">
      <alignment horizontal="center" vertical="center"/>
      <protection/>
    </xf>
    <xf numFmtId="167" fontId="8" fillId="2" borderId="56" xfId="0" applyNumberFormat="1" applyFont="1" applyFill="1" applyBorder="1" applyAlignment="1" applyProtection="1">
      <alignment horizontal="center" vertical="center" wrapText="1"/>
      <protection/>
    </xf>
    <xf numFmtId="167" fontId="8" fillId="2" borderId="70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right" vertical="center"/>
      <protection/>
    </xf>
    <xf numFmtId="0" fontId="4" fillId="2" borderId="3" xfId="0" applyFont="1" applyFill="1" applyBorder="1" applyAlignment="1" applyProtection="1">
      <alignment horizontal="right" vertical="center"/>
      <protection/>
    </xf>
    <xf numFmtId="0" fontId="4" fillId="2" borderId="32" xfId="0" applyFont="1" applyFill="1" applyBorder="1" applyAlignment="1" applyProtection="1">
      <alignment horizontal="right" vertical="center"/>
      <protection/>
    </xf>
    <xf numFmtId="0" fontId="0" fillId="2" borderId="4" xfId="0" applyFill="1" applyBorder="1" applyAlignment="1" applyProtection="1">
      <alignment horizontal="right" vertical="center"/>
      <protection/>
    </xf>
    <xf numFmtId="0" fontId="7" fillId="2" borderId="26" xfId="0" applyFont="1" applyFill="1" applyBorder="1" applyAlignment="1" applyProtection="1">
      <alignment horizontal="center" vertical="center"/>
      <protection/>
    </xf>
    <xf numFmtId="0" fontId="7" fillId="2" borderId="28" xfId="0" applyFont="1" applyFill="1" applyBorder="1" applyAlignment="1" applyProtection="1">
      <alignment horizontal="center" vertical="center"/>
      <protection/>
    </xf>
    <xf numFmtId="0" fontId="7" fillId="2" borderId="71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4" fillId="2" borderId="28" xfId="0" applyFont="1" applyFill="1" applyBorder="1" applyAlignment="1" applyProtection="1">
      <alignment horizontal="right" vertical="center"/>
      <protection/>
    </xf>
    <xf numFmtId="0" fontId="4" fillId="2" borderId="4" xfId="0" applyFont="1" applyFill="1" applyBorder="1" applyAlignment="1" applyProtection="1">
      <alignment horizontal="right" vertical="center"/>
      <protection/>
    </xf>
    <xf numFmtId="0" fontId="4" fillId="2" borderId="68" xfId="0" applyFont="1" applyFill="1" applyBorder="1" applyAlignment="1" applyProtection="1">
      <alignment horizontal="right" vertical="center"/>
      <protection/>
    </xf>
    <xf numFmtId="0" fontId="4" fillId="2" borderId="50" xfId="0" applyFont="1" applyFill="1" applyBorder="1" applyAlignment="1" applyProtection="1">
      <alignment horizontal="right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4" fillId="2" borderId="65" xfId="0" applyFont="1" applyFill="1" applyBorder="1" applyAlignment="1" applyProtection="1">
      <alignment horizontal="right" vertical="center"/>
      <protection/>
    </xf>
    <xf numFmtId="0" fontId="4" fillId="2" borderId="26" xfId="0" applyFont="1" applyFill="1" applyBorder="1" applyAlignment="1" applyProtection="1">
      <alignment horizontal="right" vertical="center"/>
      <protection/>
    </xf>
    <xf numFmtId="167" fontId="8" fillId="2" borderId="29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5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123825</xdr:colOff>
      <xdr:row>6</xdr:row>
      <xdr:rowOff>76200</xdr:rowOff>
    </xdr:from>
    <xdr:to>
      <xdr:col>22</xdr:col>
      <xdr:colOff>1752600</xdr:colOff>
      <xdr:row>6</xdr:row>
      <xdr:rowOff>609600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8275" y="1085850"/>
          <a:ext cx="1628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7"/>
  </sheetPr>
  <dimension ref="B1:BO224"/>
  <sheetViews>
    <sheetView tabSelected="1" zoomScale="75" zoomScaleNormal="75" zoomScaleSheetLayoutView="50" workbookViewId="0" topLeftCell="A203">
      <pane xSplit="5" topLeftCell="F1" activePane="topRight" state="frozen"/>
      <selection pane="topLeft" activeCell="A1" sqref="A1"/>
      <selection pane="topRight" activeCell="E11" sqref="E11"/>
    </sheetView>
  </sheetViews>
  <sheetFormatPr defaultColWidth="9.00390625" defaultRowHeight="12.75"/>
  <cols>
    <col min="1" max="1" width="3.125" style="1" customWidth="1"/>
    <col min="2" max="2" width="3.625" style="1" bestFit="1" customWidth="1"/>
    <col min="3" max="3" width="3.375" style="1" customWidth="1"/>
    <col min="4" max="4" width="5.875" style="1" bestFit="1" customWidth="1"/>
    <col min="5" max="5" width="31.375" style="1" bestFit="1" customWidth="1"/>
    <col min="6" max="7" width="9.875" style="1" bestFit="1" customWidth="1"/>
    <col min="8" max="8" width="10.25390625" style="1" bestFit="1" customWidth="1"/>
    <col min="9" max="10" width="9.875" style="1" bestFit="1" customWidth="1"/>
    <col min="11" max="13" width="10.00390625" style="1" bestFit="1" customWidth="1"/>
    <col min="14" max="15" width="10.875" style="1" bestFit="1" customWidth="1"/>
    <col min="16" max="19" width="10.75390625" style="1" bestFit="1" customWidth="1"/>
    <col min="20" max="20" width="10.125" style="1" bestFit="1" customWidth="1"/>
    <col min="21" max="21" width="9.375" style="1" bestFit="1" customWidth="1"/>
    <col min="22" max="27" width="10.25390625" style="1" bestFit="1" customWidth="1"/>
    <col min="28" max="29" width="7.75390625" style="1" bestFit="1" customWidth="1"/>
    <col min="30" max="30" width="7.625" style="1" bestFit="1" customWidth="1"/>
    <col min="31" max="35" width="7.375" style="1" bestFit="1" customWidth="1"/>
    <col min="36" max="16384" width="9.125" style="1" customWidth="1"/>
  </cols>
  <sheetData>
    <row r="1" ht="18.75" customHeight="1">
      <c r="E1" s="190"/>
    </row>
    <row r="2" spans="5:18" s="90" customFormat="1" ht="18.75" customHeight="1" thickBot="1">
      <c r="E2" s="191"/>
      <c r="F2" s="192"/>
      <c r="G2" s="89"/>
      <c r="H2" s="305"/>
      <c r="I2" s="305"/>
      <c r="J2" s="89"/>
      <c r="K2" s="305"/>
      <c r="L2" s="305"/>
      <c r="M2" s="89"/>
      <c r="N2" s="305"/>
      <c r="O2" s="305"/>
      <c r="P2" s="305"/>
      <c r="Q2" s="192"/>
      <c r="R2" s="89"/>
    </row>
    <row r="3" spans="3:35" ht="18.75" customHeight="1" thickBot="1" thickTop="1">
      <c r="C3" s="227"/>
      <c r="D3" s="47">
        <v>8</v>
      </c>
      <c r="E3" s="261" t="s">
        <v>202</v>
      </c>
      <c r="F3" s="262"/>
      <c r="G3" s="316" t="s">
        <v>203</v>
      </c>
      <c r="H3" s="317"/>
      <c r="I3" s="313" t="s">
        <v>204</v>
      </c>
      <c r="J3" s="314"/>
      <c r="K3" s="314"/>
      <c r="L3" s="315"/>
      <c r="M3" s="263"/>
      <c r="N3" s="263"/>
      <c r="O3" s="263"/>
      <c r="P3" s="264"/>
      <c r="Q3" s="264"/>
      <c r="R3" s="263"/>
      <c r="S3" s="263"/>
      <c r="T3" s="264"/>
      <c r="U3" s="265"/>
      <c r="V3" s="265"/>
      <c r="W3" s="265"/>
      <c r="X3" s="265"/>
      <c r="Y3" s="265"/>
      <c r="Z3" s="265"/>
      <c r="AA3" s="266"/>
      <c r="AB3" s="266"/>
      <c r="AC3" s="266"/>
      <c r="AD3" s="266"/>
      <c r="AE3" s="266"/>
      <c r="AF3" s="266"/>
      <c r="AG3" s="266"/>
      <c r="AH3" s="266"/>
      <c r="AI3" s="266"/>
    </row>
    <row r="4" spans="3:67" ht="18.75" customHeight="1" thickBot="1" thickTop="1">
      <c r="C4" s="228"/>
      <c r="D4" s="147">
        <v>2</v>
      </c>
      <c r="E4" s="62">
        <f ca="1">NOW()</f>
        <v>39252.58940462963</v>
      </c>
      <c r="G4" s="318" t="s">
        <v>82</v>
      </c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194"/>
      <c r="V4" s="194"/>
      <c r="W4" s="194"/>
      <c r="X4" s="194"/>
      <c r="Y4" s="194"/>
      <c r="Z4" s="194"/>
      <c r="AA4" s="195"/>
      <c r="AB4" s="195"/>
      <c r="AC4" s="195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6"/>
    </row>
    <row r="5" spans="3:67" ht="133.5" customHeight="1" thickTop="1">
      <c r="C5" s="310" t="s">
        <v>256</v>
      </c>
      <c r="D5" s="221" t="s">
        <v>190</v>
      </c>
      <c r="E5" s="198" t="s">
        <v>209</v>
      </c>
      <c r="F5" s="199" t="s">
        <v>51</v>
      </c>
      <c r="G5" s="199" t="s">
        <v>52</v>
      </c>
      <c r="H5" s="199" t="s">
        <v>53</v>
      </c>
      <c r="I5" s="199" t="s">
        <v>54</v>
      </c>
      <c r="J5" s="199" t="s">
        <v>55</v>
      </c>
      <c r="K5" s="121" t="s">
        <v>191</v>
      </c>
      <c r="L5" s="199" t="s">
        <v>56</v>
      </c>
      <c r="M5" s="121" t="s">
        <v>57</v>
      </c>
      <c r="N5" s="123" t="s">
        <v>176</v>
      </c>
      <c r="O5" s="199" t="s">
        <v>58</v>
      </c>
      <c r="P5" s="123" t="s">
        <v>177</v>
      </c>
      <c r="Q5" s="199" t="s">
        <v>59</v>
      </c>
      <c r="R5" s="199" t="s">
        <v>60</v>
      </c>
      <c r="S5" s="199" t="s">
        <v>61</v>
      </c>
      <c r="T5" s="199" t="s">
        <v>62</v>
      </c>
      <c r="U5" s="199" t="s">
        <v>63</v>
      </c>
      <c r="V5" s="121"/>
      <c r="W5" s="121"/>
      <c r="X5" s="199"/>
      <c r="Y5" s="199"/>
      <c r="Z5" s="199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</row>
    <row r="6" spans="3:67" ht="18">
      <c r="C6" s="311"/>
      <c r="D6" s="222"/>
      <c r="E6" s="111" t="s">
        <v>0</v>
      </c>
      <c r="F6" s="200">
        <v>1</v>
      </c>
      <c r="G6" s="200">
        <v>2</v>
      </c>
      <c r="H6" s="200">
        <v>3</v>
      </c>
      <c r="I6" s="200">
        <v>4</v>
      </c>
      <c r="J6" s="200">
        <v>5</v>
      </c>
      <c r="K6" s="200">
        <v>6</v>
      </c>
      <c r="L6" s="200">
        <v>7</v>
      </c>
      <c r="M6" s="200">
        <v>8</v>
      </c>
      <c r="N6" s="200">
        <v>9</v>
      </c>
      <c r="O6" s="200">
        <v>10</v>
      </c>
      <c r="P6" s="200">
        <v>11</v>
      </c>
      <c r="Q6" s="200">
        <v>12</v>
      </c>
      <c r="R6" s="200">
        <v>13</v>
      </c>
      <c r="S6" s="200">
        <v>14</v>
      </c>
      <c r="T6" s="200">
        <v>15</v>
      </c>
      <c r="U6" s="200">
        <v>16</v>
      </c>
      <c r="V6" s="200">
        <v>17</v>
      </c>
      <c r="W6" s="200">
        <v>18</v>
      </c>
      <c r="X6" s="200">
        <v>19</v>
      </c>
      <c r="Y6" s="200">
        <v>20</v>
      </c>
      <c r="Z6" s="200">
        <v>21</v>
      </c>
      <c r="AA6" s="200">
        <v>22</v>
      </c>
      <c r="AB6" s="200">
        <v>23</v>
      </c>
      <c r="AC6" s="200">
        <v>24</v>
      </c>
      <c r="AD6" s="200">
        <v>25</v>
      </c>
      <c r="AE6" s="200">
        <v>26</v>
      </c>
      <c r="AF6" s="200">
        <v>27</v>
      </c>
      <c r="AG6" s="200">
        <v>28</v>
      </c>
      <c r="AH6" s="200">
        <v>29</v>
      </c>
      <c r="AI6" s="200">
        <v>30</v>
      </c>
      <c r="AJ6" s="200">
        <v>31</v>
      </c>
      <c r="AK6" s="200">
        <v>32</v>
      </c>
      <c r="AL6" s="200">
        <v>33</v>
      </c>
      <c r="AM6" s="200">
        <v>34</v>
      </c>
      <c r="AN6" s="200">
        <v>35</v>
      </c>
      <c r="AO6" s="200">
        <v>36</v>
      </c>
      <c r="AP6" s="200">
        <v>37</v>
      </c>
      <c r="AQ6" s="200">
        <v>38</v>
      </c>
      <c r="AR6" s="200">
        <v>39</v>
      </c>
      <c r="AS6" s="200">
        <v>40</v>
      </c>
      <c r="AT6" s="200">
        <v>41</v>
      </c>
      <c r="AU6" s="200">
        <v>42</v>
      </c>
      <c r="AV6" s="200">
        <v>43</v>
      </c>
      <c r="AW6" s="200">
        <v>44</v>
      </c>
      <c r="AX6" s="200">
        <v>45</v>
      </c>
      <c r="AY6" s="200">
        <v>46</v>
      </c>
      <c r="AZ6" s="200">
        <v>47</v>
      </c>
      <c r="BA6" s="200">
        <v>48</v>
      </c>
      <c r="BB6" s="200">
        <v>49</v>
      </c>
      <c r="BC6" s="200">
        <v>50</v>
      </c>
      <c r="BD6" s="200">
        <v>51</v>
      </c>
      <c r="BE6" s="200">
        <v>52</v>
      </c>
      <c r="BF6" s="200">
        <v>53</v>
      </c>
      <c r="BG6" s="200">
        <v>54</v>
      </c>
      <c r="BH6" s="200">
        <v>55</v>
      </c>
      <c r="BI6" s="200">
        <v>56</v>
      </c>
      <c r="BJ6" s="200">
        <v>57</v>
      </c>
      <c r="BK6" s="200">
        <v>58</v>
      </c>
      <c r="BL6" s="200">
        <v>59</v>
      </c>
      <c r="BM6" s="200">
        <v>60</v>
      </c>
      <c r="BN6" s="200">
        <v>61</v>
      </c>
      <c r="BO6" s="200">
        <v>62</v>
      </c>
    </row>
    <row r="7" spans="3:67" ht="18">
      <c r="C7" s="311"/>
      <c r="D7" s="196"/>
      <c r="E7" s="219" t="str">
        <f>"Учащихся   "&amp;D44</f>
        <v>Учащихся   27</v>
      </c>
      <c r="F7" s="117" t="s">
        <v>3</v>
      </c>
      <c r="G7" s="117" t="s">
        <v>3</v>
      </c>
      <c r="H7" s="117" t="s">
        <v>3</v>
      </c>
      <c r="I7" s="117" t="s">
        <v>3</v>
      </c>
      <c r="J7" s="117" t="s">
        <v>3</v>
      </c>
      <c r="K7" s="117" t="s">
        <v>3</v>
      </c>
      <c r="L7" s="117" t="s">
        <v>3</v>
      </c>
      <c r="M7" s="117" t="s">
        <v>3</v>
      </c>
      <c r="N7" s="117" t="s">
        <v>3</v>
      </c>
      <c r="O7" s="117" t="s">
        <v>3</v>
      </c>
      <c r="P7" s="117" t="s">
        <v>3</v>
      </c>
      <c r="Q7" s="117" t="s">
        <v>3</v>
      </c>
      <c r="R7" s="117" t="s">
        <v>3</v>
      </c>
      <c r="S7" s="117" t="s">
        <v>3</v>
      </c>
      <c r="T7" s="117" t="s">
        <v>3</v>
      </c>
      <c r="U7" s="117" t="s">
        <v>3</v>
      </c>
      <c r="V7" s="117" t="s">
        <v>3</v>
      </c>
      <c r="W7" s="117" t="s">
        <v>3</v>
      </c>
      <c r="X7" s="117" t="s">
        <v>3</v>
      </c>
      <c r="Y7" s="117" t="s">
        <v>3</v>
      </c>
      <c r="Z7" s="117" t="s">
        <v>3</v>
      </c>
      <c r="AA7" s="117" t="s">
        <v>3</v>
      </c>
      <c r="AB7" s="117" t="s">
        <v>3</v>
      </c>
      <c r="AC7" s="117" t="s">
        <v>3</v>
      </c>
      <c r="AD7" s="117" t="s">
        <v>3</v>
      </c>
      <c r="AE7" s="117" t="s">
        <v>3</v>
      </c>
      <c r="AF7" s="117" t="s">
        <v>3</v>
      </c>
      <c r="AG7" s="117" t="s">
        <v>3</v>
      </c>
      <c r="AH7" s="117" t="s">
        <v>3</v>
      </c>
      <c r="AI7" s="117" t="s">
        <v>3</v>
      </c>
      <c r="AJ7" s="117" t="s">
        <v>3</v>
      </c>
      <c r="AK7" s="117" t="s">
        <v>3</v>
      </c>
      <c r="AL7" s="117" t="s">
        <v>3</v>
      </c>
      <c r="AM7" s="117" t="s">
        <v>3</v>
      </c>
      <c r="AN7" s="117" t="s">
        <v>3</v>
      </c>
      <c r="AO7" s="117" t="s">
        <v>3</v>
      </c>
      <c r="AP7" s="117" t="s">
        <v>3</v>
      </c>
      <c r="AQ7" s="117" t="s">
        <v>3</v>
      </c>
      <c r="AR7" s="117" t="s">
        <v>3</v>
      </c>
      <c r="AS7" s="117" t="s">
        <v>3</v>
      </c>
      <c r="AT7" s="117" t="s">
        <v>3</v>
      </c>
      <c r="AU7" s="117" t="s">
        <v>3</v>
      </c>
      <c r="AV7" s="117" t="s">
        <v>3</v>
      </c>
      <c r="AW7" s="117" t="s">
        <v>3</v>
      </c>
      <c r="AX7" s="117" t="s">
        <v>3</v>
      </c>
      <c r="AY7" s="117" t="s">
        <v>3</v>
      </c>
      <c r="AZ7" s="117" t="s">
        <v>3</v>
      </c>
      <c r="BA7" s="117" t="s">
        <v>3</v>
      </c>
      <c r="BB7" s="117" t="s">
        <v>3</v>
      </c>
      <c r="BC7" s="117" t="s">
        <v>3</v>
      </c>
      <c r="BD7" s="117" t="s">
        <v>3</v>
      </c>
      <c r="BE7" s="117" t="s">
        <v>3</v>
      </c>
      <c r="BF7" s="117" t="s">
        <v>3</v>
      </c>
      <c r="BG7" s="117" t="s">
        <v>3</v>
      </c>
      <c r="BH7" s="117" t="s">
        <v>3</v>
      </c>
      <c r="BI7" s="117" t="s">
        <v>3</v>
      </c>
      <c r="BJ7" s="117" t="s">
        <v>3</v>
      </c>
      <c r="BK7" s="117" t="s">
        <v>3</v>
      </c>
      <c r="BL7" s="117" t="s">
        <v>3</v>
      </c>
      <c r="BM7" s="117" t="s">
        <v>3</v>
      </c>
      <c r="BN7" s="117" t="s">
        <v>3</v>
      </c>
      <c r="BO7" s="117" t="s">
        <v>3</v>
      </c>
    </row>
    <row r="8" spans="3:67" ht="25.5">
      <c r="C8" s="311"/>
      <c r="D8" s="223" t="s">
        <v>1</v>
      </c>
      <c r="E8" s="201" t="s">
        <v>2</v>
      </c>
      <c r="F8" s="202">
        <v>38966</v>
      </c>
      <c r="G8" s="202">
        <v>38969</v>
      </c>
      <c r="H8" s="202">
        <v>38973</v>
      </c>
      <c r="I8" s="202">
        <v>38976</v>
      </c>
      <c r="J8" s="202">
        <v>38980</v>
      </c>
      <c r="K8" s="202">
        <v>38983</v>
      </c>
      <c r="L8" s="202">
        <v>38987</v>
      </c>
      <c r="M8" s="202">
        <v>38990</v>
      </c>
      <c r="N8" s="202">
        <v>38994</v>
      </c>
      <c r="O8" s="202">
        <v>38997</v>
      </c>
      <c r="P8" s="202">
        <v>39001</v>
      </c>
      <c r="Q8" s="202">
        <v>39004</v>
      </c>
      <c r="R8" s="202">
        <v>39008</v>
      </c>
      <c r="S8" s="202">
        <v>39011</v>
      </c>
      <c r="T8" s="202">
        <v>39015</v>
      </c>
      <c r="U8" s="202">
        <v>39018</v>
      </c>
      <c r="V8" s="117"/>
      <c r="W8" s="202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</row>
    <row r="9" spans="3:67" ht="18">
      <c r="C9" s="226"/>
      <c r="D9" s="224">
        <v>1</v>
      </c>
      <c r="E9" s="189" t="s">
        <v>263</v>
      </c>
      <c r="F9" s="117">
        <v>3</v>
      </c>
      <c r="G9" s="117"/>
      <c r="H9" s="117">
        <v>4</v>
      </c>
      <c r="I9" s="117"/>
      <c r="J9" s="117">
        <v>4</v>
      </c>
      <c r="K9" s="117"/>
      <c r="L9" s="117">
        <v>5</v>
      </c>
      <c r="M9" s="117"/>
      <c r="N9" s="118">
        <v>5</v>
      </c>
      <c r="O9" s="117"/>
      <c r="P9" s="118">
        <v>5</v>
      </c>
      <c r="Q9" s="117" t="s">
        <v>5</v>
      </c>
      <c r="R9" s="117"/>
      <c r="S9" s="117">
        <v>3</v>
      </c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8"/>
      <c r="AK9" s="203"/>
      <c r="AL9" s="117"/>
      <c r="AM9" s="117"/>
      <c r="AN9" s="117"/>
      <c r="AO9" s="117"/>
      <c r="AP9" s="117"/>
      <c r="AQ9" s="117"/>
      <c r="AR9" s="117"/>
      <c r="AS9" s="117"/>
      <c r="AT9" s="119"/>
      <c r="AU9" s="119"/>
      <c r="AV9" s="119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</row>
    <row r="10" spans="3:67" s="45" customFormat="1" ht="18">
      <c r="C10" s="226"/>
      <c r="D10" s="224">
        <v>2</v>
      </c>
      <c r="E10" s="189" t="s">
        <v>264</v>
      </c>
      <c r="F10" s="117"/>
      <c r="G10" s="117">
        <v>3</v>
      </c>
      <c r="H10" s="117"/>
      <c r="I10" s="117" t="s">
        <v>5</v>
      </c>
      <c r="J10" s="117">
        <v>4</v>
      </c>
      <c r="K10" s="117" t="s">
        <v>6</v>
      </c>
      <c r="L10" s="117">
        <v>3</v>
      </c>
      <c r="M10" s="117"/>
      <c r="N10" s="118" t="s">
        <v>7</v>
      </c>
      <c r="O10" s="117">
        <v>4</v>
      </c>
      <c r="P10" s="118">
        <v>4</v>
      </c>
      <c r="Q10" s="117" t="s">
        <v>5</v>
      </c>
      <c r="R10" s="117"/>
      <c r="S10" s="117">
        <v>4</v>
      </c>
      <c r="T10" s="117">
        <v>3</v>
      </c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204"/>
      <c r="AK10" s="203"/>
      <c r="AL10" s="117"/>
      <c r="AM10" s="117"/>
      <c r="AN10" s="117"/>
      <c r="AO10" s="117"/>
      <c r="AP10" s="117"/>
      <c r="AQ10" s="117"/>
      <c r="AR10" s="117"/>
      <c r="AS10" s="117"/>
      <c r="AT10" s="119"/>
      <c r="AU10" s="119"/>
      <c r="AV10" s="119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</row>
    <row r="11" spans="3:67" ht="18">
      <c r="C11" s="226"/>
      <c r="D11" s="224">
        <v>3</v>
      </c>
      <c r="E11" s="189" t="s">
        <v>8</v>
      </c>
      <c r="F11" s="117"/>
      <c r="G11" s="117">
        <v>5</v>
      </c>
      <c r="H11" s="117">
        <v>2</v>
      </c>
      <c r="I11" s="117"/>
      <c r="J11" s="117">
        <v>3</v>
      </c>
      <c r="K11" s="117">
        <v>2</v>
      </c>
      <c r="L11" s="117" t="s">
        <v>6</v>
      </c>
      <c r="M11" s="117" t="s">
        <v>6</v>
      </c>
      <c r="N11" s="118">
        <v>1</v>
      </c>
      <c r="O11" s="117" t="s">
        <v>5</v>
      </c>
      <c r="P11" s="118" t="s">
        <v>5</v>
      </c>
      <c r="Q11" s="117"/>
      <c r="R11" s="117">
        <v>3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8"/>
      <c r="AK11" s="203"/>
      <c r="AL11" s="117"/>
      <c r="AM11" s="117"/>
      <c r="AN11" s="117"/>
      <c r="AO11" s="117"/>
      <c r="AP11" s="117"/>
      <c r="AQ11" s="117"/>
      <c r="AR11" s="117"/>
      <c r="AS11" s="117"/>
      <c r="AT11" s="119"/>
      <c r="AU11" s="119"/>
      <c r="AV11" s="119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</row>
    <row r="12" spans="3:67" ht="18">
      <c r="C12" s="226"/>
      <c r="D12" s="224">
        <v>4</v>
      </c>
      <c r="E12" s="189" t="s">
        <v>9</v>
      </c>
      <c r="F12" s="117" t="s">
        <v>5</v>
      </c>
      <c r="G12" s="117">
        <v>3</v>
      </c>
      <c r="H12" s="117">
        <v>2</v>
      </c>
      <c r="I12" s="119"/>
      <c r="J12" s="117">
        <v>4</v>
      </c>
      <c r="K12" s="117"/>
      <c r="L12" s="117">
        <v>4</v>
      </c>
      <c r="M12" s="117">
        <v>2</v>
      </c>
      <c r="N12" s="118">
        <v>3</v>
      </c>
      <c r="O12" s="117">
        <v>3</v>
      </c>
      <c r="P12" s="118">
        <v>3</v>
      </c>
      <c r="Q12" s="117"/>
      <c r="R12" s="117"/>
      <c r="S12" s="117"/>
      <c r="T12" s="117"/>
      <c r="U12" s="117">
        <v>3</v>
      </c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8"/>
      <c r="AK12" s="203"/>
      <c r="AL12" s="117"/>
      <c r="AM12" s="117"/>
      <c r="AN12" s="117"/>
      <c r="AO12" s="119"/>
      <c r="AP12" s="117"/>
      <c r="AQ12" s="117"/>
      <c r="AR12" s="117"/>
      <c r="AS12" s="117"/>
      <c r="AT12" s="119"/>
      <c r="AU12" s="119"/>
      <c r="AV12" s="119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</row>
    <row r="13" spans="3:67" ht="18">
      <c r="C13" s="226" t="s">
        <v>255</v>
      </c>
      <c r="D13" s="224">
        <v>5</v>
      </c>
      <c r="E13" s="189" t="s">
        <v>258</v>
      </c>
      <c r="F13" s="119"/>
      <c r="G13" s="117"/>
      <c r="H13" s="117">
        <v>3</v>
      </c>
      <c r="I13" s="205">
        <v>3</v>
      </c>
      <c r="J13" s="205"/>
      <c r="K13" s="205">
        <v>3</v>
      </c>
      <c r="L13" s="205"/>
      <c r="M13" s="205">
        <v>3</v>
      </c>
      <c r="N13" s="205">
        <v>3</v>
      </c>
      <c r="O13" s="205"/>
      <c r="P13" s="205"/>
      <c r="Q13" s="205">
        <v>3</v>
      </c>
      <c r="R13" s="205"/>
      <c r="S13" s="205">
        <v>3</v>
      </c>
      <c r="T13" s="205"/>
      <c r="U13" s="205">
        <v>3</v>
      </c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8"/>
      <c r="AK13" s="203"/>
      <c r="AL13" s="117"/>
      <c r="AM13" s="117"/>
      <c r="AN13" s="117"/>
      <c r="AO13" s="117"/>
      <c r="AP13" s="117"/>
      <c r="AQ13" s="117"/>
      <c r="AR13" s="117"/>
      <c r="AS13" s="117"/>
      <c r="AT13" s="119"/>
      <c r="AU13" s="119"/>
      <c r="AV13" s="119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</row>
    <row r="14" spans="3:67" ht="18">
      <c r="C14" s="226"/>
      <c r="D14" s="224">
        <v>6</v>
      </c>
      <c r="E14" s="189" t="s">
        <v>10</v>
      </c>
      <c r="F14" s="117"/>
      <c r="G14" s="117">
        <v>4</v>
      </c>
      <c r="H14" s="117">
        <v>5</v>
      </c>
      <c r="I14" s="117"/>
      <c r="J14" s="117">
        <v>3</v>
      </c>
      <c r="K14" s="117" t="s">
        <v>5</v>
      </c>
      <c r="L14" s="117" t="s">
        <v>5</v>
      </c>
      <c r="M14" s="117" t="s">
        <v>5</v>
      </c>
      <c r="N14" s="118">
        <v>3</v>
      </c>
      <c r="O14" s="117"/>
      <c r="P14" s="118">
        <v>4</v>
      </c>
      <c r="Q14" s="117">
        <v>3</v>
      </c>
      <c r="R14" s="117">
        <v>1</v>
      </c>
      <c r="S14" s="117"/>
      <c r="T14" s="117">
        <v>3</v>
      </c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8"/>
      <c r="AK14" s="203"/>
      <c r="AL14" s="117"/>
      <c r="AM14" s="117"/>
      <c r="AN14" s="117"/>
      <c r="AO14" s="117"/>
      <c r="AP14" s="117"/>
      <c r="AQ14" s="117"/>
      <c r="AR14" s="117"/>
      <c r="AS14" s="117"/>
      <c r="AT14" s="119"/>
      <c r="AU14" s="119"/>
      <c r="AV14" s="119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</row>
    <row r="15" spans="3:67" ht="18">
      <c r="C15" s="226"/>
      <c r="D15" s="224">
        <v>7</v>
      </c>
      <c r="E15" s="189" t="s">
        <v>11</v>
      </c>
      <c r="F15" s="117"/>
      <c r="G15" s="117"/>
      <c r="H15" s="117">
        <v>2</v>
      </c>
      <c r="I15" s="117">
        <v>3</v>
      </c>
      <c r="J15" s="117"/>
      <c r="K15" s="117">
        <v>3</v>
      </c>
      <c r="L15" s="117"/>
      <c r="M15" s="117">
        <v>3</v>
      </c>
      <c r="N15" s="118" t="s">
        <v>5</v>
      </c>
      <c r="O15" s="117"/>
      <c r="P15" s="118">
        <v>1</v>
      </c>
      <c r="Q15" s="117"/>
      <c r="R15" s="117">
        <v>3</v>
      </c>
      <c r="S15" s="117"/>
      <c r="T15" s="117"/>
      <c r="U15" s="117">
        <v>2</v>
      </c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8"/>
      <c r="AK15" s="203"/>
      <c r="AL15" s="117"/>
      <c r="AM15" s="119"/>
      <c r="AN15" s="119"/>
      <c r="AO15" s="117"/>
      <c r="AP15" s="117"/>
      <c r="AQ15" s="117"/>
      <c r="AR15" s="117"/>
      <c r="AS15" s="117"/>
      <c r="AT15" s="119"/>
      <c r="AU15" s="119"/>
      <c r="AV15" s="119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</row>
    <row r="16" spans="3:67" ht="18">
      <c r="C16" s="226"/>
      <c r="D16" s="224">
        <v>8</v>
      </c>
      <c r="E16" s="189" t="s">
        <v>12</v>
      </c>
      <c r="F16" s="117"/>
      <c r="G16" s="117">
        <v>5</v>
      </c>
      <c r="H16" s="117"/>
      <c r="I16" s="117"/>
      <c r="J16" s="117">
        <v>4</v>
      </c>
      <c r="K16" s="117"/>
      <c r="L16" s="117"/>
      <c r="M16" s="117">
        <v>3</v>
      </c>
      <c r="N16" s="118">
        <v>4</v>
      </c>
      <c r="O16" s="117"/>
      <c r="P16" s="118">
        <v>5</v>
      </c>
      <c r="Q16" s="117"/>
      <c r="R16" s="117"/>
      <c r="S16" s="117">
        <v>4</v>
      </c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8"/>
      <c r="AK16" s="203"/>
      <c r="AL16" s="117"/>
      <c r="AM16" s="119"/>
      <c r="AN16" s="119"/>
      <c r="AO16" s="117"/>
      <c r="AP16" s="117"/>
      <c r="AQ16" s="117"/>
      <c r="AR16" s="117"/>
      <c r="AS16" s="117"/>
      <c r="AT16" s="119"/>
      <c r="AU16" s="119"/>
      <c r="AV16" s="119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</row>
    <row r="17" spans="3:67" ht="18">
      <c r="C17" s="226" t="s">
        <v>255</v>
      </c>
      <c r="D17" s="224">
        <v>9</v>
      </c>
      <c r="E17" s="189" t="s">
        <v>259</v>
      </c>
      <c r="F17" s="117" t="s">
        <v>7</v>
      </c>
      <c r="G17" s="117"/>
      <c r="H17" s="117">
        <v>3</v>
      </c>
      <c r="I17" s="117"/>
      <c r="J17" s="117">
        <v>4</v>
      </c>
      <c r="K17" s="117"/>
      <c r="L17" s="117">
        <v>2</v>
      </c>
      <c r="M17" s="117"/>
      <c r="N17" s="118">
        <v>2</v>
      </c>
      <c r="O17" s="117"/>
      <c r="P17" s="118">
        <v>3</v>
      </c>
      <c r="Q17" s="117">
        <v>3</v>
      </c>
      <c r="R17" s="117"/>
      <c r="S17" s="117"/>
      <c r="T17" s="117"/>
      <c r="U17" s="117">
        <v>3</v>
      </c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8"/>
      <c r="AK17" s="203"/>
      <c r="AL17" s="117"/>
      <c r="AM17" s="117"/>
      <c r="AN17" s="119"/>
      <c r="AO17" s="117"/>
      <c r="AP17" s="117"/>
      <c r="AQ17" s="117"/>
      <c r="AR17" s="117"/>
      <c r="AS17" s="117"/>
      <c r="AT17" s="119"/>
      <c r="AU17" s="119"/>
      <c r="AV17" s="119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</row>
    <row r="18" spans="3:67" ht="18">
      <c r="C18" s="226"/>
      <c r="D18" s="224">
        <v>10</v>
      </c>
      <c r="E18" s="189" t="s">
        <v>13</v>
      </c>
      <c r="F18" s="117">
        <v>4</v>
      </c>
      <c r="G18" s="117"/>
      <c r="H18" s="117"/>
      <c r="I18" s="117">
        <v>4</v>
      </c>
      <c r="J18" s="117"/>
      <c r="K18" s="117">
        <v>4</v>
      </c>
      <c r="L18" s="117"/>
      <c r="M18" s="117">
        <v>3</v>
      </c>
      <c r="N18" s="118">
        <v>3</v>
      </c>
      <c r="O18" s="117">
        <v>5</v>
      </c>
      <c r="P18" s="118">
        <v>4</v>
      </c>
      <c r="Q18" s="117"/>
      <c r="R18" s="117"/>
      <c r="S18" s="117">
        <v>3</v>
      </c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8"/>
      <c r="AK18" s="203"/>
      <c r="AL18" s="117"/>
      <c r="AM18" s="117"/>
      <c r="AN18" s="117"/>
      <c r="AO18" s="117"/>
      <c r="AP18" s="117"/>
      <c r="AQ18" s="117"/>
      <c r="AR18" s="117"/>
      <c r="AS18" s="117"/>
      <c r="AT18" s="119"/>
      <c r="AU18" s="119"/>
      <c r="AV18" s="119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</row>
    <row r="19" spans="3:67" ht="18">
      <c r="C19" s="226"/>
      <c r="D19" s="224">
        <v>11</v>
      </c>
      <c r="E19" s="189" t="s">
        <v>14</v>
      </c>
      <c r="F19" s="117"/>
      <c r="G19" s="117">
        <v>3</v>
      </c>
      <c r="H19" s="117"/>
      <c r="I19" s="117">
        <v>4</v>
      </c>
      <c r="J19" s="117"/>
      <c r="K19" s="117">
        <v>4</v>
      </c>
      <c r="L19" s="117"/>
      <c r="M19" s="117">
        <v>3</v>
      </c>
      <c r="N19" s="118">
        <v>3</v>
      </c>
      <c r="O19" s="117">
        <v>4</v>
      </c>
      <c r="P19" s="118">
        <v>3</v>
      </c>
      <c r="Q19" s="117"/>
      <c r="R19" s="117"/>
      <c r="S19" s="117"/>
      <c r="T19" s="117"/>
      <c r="U19" s="117">
        <v>4</v>
      </c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8"/>
      <c r="AK19" s="203"/>
      <c r="AL19" s="117"/>
      <c r="AM19" s="117"/>
      <c r="AN19" s="117"/>
      <c r="AO19" s="117"/>
      <c r="AP19" s="117"/>
      <c r="AQ19" s="117"/>
      <c r="AR19" s="117"/>
      <c r="AS19" s="117"/>
      <c r="AT19" s="119"/>
      <c r="AU19" s="119"/>
      <c r="AV19" s="119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</row>
    <row r="20" spans="3:67" ht="18">
      <c r="C20" s="226"/>
      <c r="D20" s="224">
        <v>12</v>
      </c>
      <c r="E20" s="189" t="s">
        <v>15</v>
      </c>
      <c r="F20" s="117"/>
      <c r="G20" s="117">
        <v>4</v>
      </c>
      <c r="H20" s="117">
        <v>5</v>
      </c>
      <c r="I20" s="117"/>
      <c r="J20" s="117">
        <v>3</v>
      </c>
      <c r="K20" s="117"/>
      <c r="L20" s="117">
        <v>3</v>
      </c>
      <c r="M20" s="117"/>
      <c r="N20" s="118">
        <v>5</v>
      </c>
      <c r="O20" s="117"/>
      <c r="P20" s="118">
        <v>2</v>
      </c>
      <c r="Q20" s="117"/>
      <c r="R20" s="117">
        <v>4</v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8"/>
      <c r="AK20" s="203"/>
      <c r="AL20" s="117"/>
      <c r="AM20" s="117"/>
      <c r="AN20" s="117"/>
      <c r="AO20" s="117"/>
      <c r="AP20" s="117"/>
      <c r="AQ20" s="117"/>
      <c r="AR20" s="117"/>
      <c r="AS20" s="117"/>
      <c r="AT20" s="119"/>
      <c r="AU20" s="119"/>
      <c r="AV20" s="119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</row>
    <row r="21" spans="3:67" s="45" customFormat="1" ht="18">
      <c r="C21" s="226"/>
      <c r="D21" s="224">
        <v>13</v>
      </c>
      <c r="E21" s="189" t="s">
        <v>16</v>
      </c>
      <c r="F21" s="117" t="s">
        <v>5</v>
      </c>
      <c r="G21" s="117" t="s">
        <v>5</v>
      </c>
      <c r="H21" s="117" t="s">
        <v>5</v>
      </c>
      <c r="I21" s="117">
        <v>3</v>
      </c>
      <c r="J21" s="117">
        <v>3</v>
      </c>
      <c r="K21" s="117" t="s">
        <v>6</v>
      </c>
      <c r="L21" s="117" t="s">
        <v>6</v>
      </c>
      <c r="M21" s="117" t="s">
        <v>6</v>
      </c>
      <c r="N21" s="118" t="s">
        <v>6</v>
      </c>
      <c r="O21" s="117"/>
      <c r="P21" s="118">
        <v>2</v>
      </c>
      <c r="Q21" s="117">
        <v>4</v>
      </c>
      <c r="R21" s="117"/>
      <c r="S21" s="117"/>
      <c r="T21" s="117">
        <v>2</v>
      </c>
      <c r="U21" s="117">
        <v>3</v>
      </c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204"/>
      <c r="AK21" s="203"/>
      <c r="AL21" s="117"/>
      <c r="AM21" s="117"/>
      <c r="AN21" s="117"/>
      <c r="AO21" s="117"/>
      <c r="AP21" s="117"/>
      <c r="AQ21" s="117"/>
      <c r="AR21" s="117"/>
      <c r="AS21" s="117"/>
      <c r="AT21" s="119"/>
      <c r="AU21" s="119"/>
      <c r="AV21" s="119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</row>
    <row r="22" spans="3:67" s="45" customFormat="1" ht="18">
      <c r="C22" s="226"/>
      <c r="D22" s="224">
        <v>14</v>
      </c>
      <c r="E22" s="189" t="s">
        <v>17</v>
      </c>
      <c r="F22" s="117">
        <v>3</v>
      </c>
      <c r="G22" s="117" t="s">
        <v>5</v>
      </c>
      <c r="H22" s="117" t="s">
        <v>5</v>
      </c>
      <c r="I22" s="117" t="s">
        <v>5</v>
      </c>
      <c r="J22" s="117"/>
      <c r="K22" s="117">
        <v>3</v>
      </c>
      <c r="L22" s="117"/>
      <c r="M22" s="117">
        <v>2</v>
      </c>
      <c r="N22" s="118">
        <v>1</v>
      </c>
      <c r="O22" s="117"/>
      <c r="P22" s="118">
        <v>1</v>
      </c>
      <c r="Q22" s="117" t="s">
        <v>5</v>
      </c>
      <c r="R22" s="117"/>
      <c r="S22" s="117">
        <v>3</v>
      </c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204"/>
      <c r="AK22" s="203"/>
      <c r="AL22" s="117"/>
      <c r="AM22" s="117"/>
      <c r="AN22" s="117"/>
      <c r="AO22" s="117"/>
      <c r="AP22" s="117"/>
      <c r="AQ22" s="117"/>
      <c r="AR22" s="117"/>
      <c r="AS22" s="117"/>
      <c r="AT22" s="119"/>
      <c r="AU22" s="119"/>
      <c r="AV22" s="119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</row>
    <row r="23" spans="3:67" s="45" customFormat="1" ht="18">
      <c r="C23" s="226"/>
      <c r="D23" s="224">
        <v>15</v>
      </c>
      <c r="E23" s="189" t="s">
        <v>18</v>
      </c>
      <c r="F23" s="117">
        <v>5</v>
      </c>
      <c r="G23" s="117"/>
      <c r="H23" s="117">
        <v>5</v>
      </c>
      <c r="I23" s="117">
        <v>5</v>
      </c>
      <c r="J23" s="117"/>
      <c r="K23" s="117">
        <v>5</v>
      </c>
      <c r="L23" s="117"/>
      <c r="M23" s="117"/>
      <c r="N23" s="118">
        <v>5</v>
      </c>
      <c r="O23" s="117">
        <v>4</v>
      </c>
      <c r="P23" s="118">
        <v>5</v>
      </c>
      <c r="Q23" s="117"/>
      <c r="R23" s="117"/>
      <c r="S23" s="117"/>
      <c r="T23" s="117"/>
      <c r="U23" s="117">
        <v>5</v>
      </c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204"/>
      <c r="AK23" s="203"/>
      <c r="AL23" s="117"/>
      <c r="AM23" s="117"/>
      <c r="AN23" s="117"/>
      <c r="AO23" s="117"/>
      <c r="AP23" s="117"/>
      <c r="AQ23" s="117"/>
      <c r="AR23" s="117"/>
      <c r="AS23" s="117"/>
      <c r="AT23" s="119"/>
      <c r="AU23" s="119"/>
      <c r="AV23" s="119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</row>
    <row r="24" spans="3:67" s="45" customFormat="1" ht="18">
      <c r="C24" s="226"/>
      <c r="D24" s="224">
        <v>16</v>
      </c>
      <c r="E24" s="189" t="s">
        <v>19</v>
      </c>
      <c r="F24" s="117"/>
      <c r="G24" s="117">
        <v>3</v>
      </c>
      <c r="H24" s="117"/>
      <c r="I24" s="117">
        <v>3</v>
      </c>
      <c r="J24" s="117"/>
      <c r="K24" s="117">
        <v>3</v>
      </c>
      <c r="L24" s="117" t="s">
        <v>7</v>
      </c>
      <c r="M24" s="117" t="s">
        <v>7</v>
      </c>
      <c r="N24" s="118">
        <v>3</v>
      </c>
      <c r="O24" s="117"/>
      <c r="P24" s="118">
        <v>3</v>
      </c>
      <c r="Q24" s="117">
        <v>2</v>
      </c>
      <c r="R24" s="117"/>
      <c r="S24" s="117"/>
      <c r="T24" s="117">
        <v>3</v>
      </c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204"/>
      <c r="AK24" s="203"/>
      <c r="AL24" s="117"/>
      <c r="AM24" s="117"/>
      <c r="AN24" s="117"/>
      <c r="AO24" s="117"/>
      <c r="AP24" s="117"/>
      <c r="AQ24" s="117"/>
      <c r="AR24" s="117"/>
      <c r="AS24" s="117"/>
      <c r="AT24" s="119"/>
      <c r="AU24" s="119"/>
      <c r="AV24" s="119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</row>
    <row r="25" spans="3:67" s="45" customFormat="1" ht="18">
      <c r="C25" s="226"/>
      <c r="D25" s="224">
        <v>17</v>
      </c>
      <c r="E25" s="189" t="s">
        <v>20</v>
      </c>
      <c r="F25" s="117"/>
      <c r="G25" s="117"/>
      <c r="H25" s="117">
        <v>5</v>
      </c>
      <c r="I25" s="117"/>
      <c r="J25" s="117">
        <v>4</v>
      </c>
      <c r="K25" s="117"/>
      <c r="L25" s="117">
        <v>4</v>
      </c>
      <c r="M25" s="117"/>
      <c r="N25" s="118">
        <v>3</v>
      </c>
      <c r="O25" s="117"/>
      <c r="P25" s="118">
        <v>4</v>
      </c>
      <c r="Q25" s="117"/>
      <c r="R25" s="117">
        <v>4</v>
      </c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204"/>
      <c r="AK25" s="203"/>
      <c r="AL25" s="117"/>
      <c r="AM25" s="117"/>
      <c r="AN25" s="117"/>
      <c r="AO25" s="117"/>
      <c r="AP25" s="117"/>
      <c r="AQ25" s="117"/>
      <c r="AR25" s="117"/>
      <c r="AS25" s="117"/>
      <c r="AT25" s="119"/>
      <c r="AU25" s="119"/>
      <c r="AV25" s="119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</row>
    <row r="26" spans="3:67" s="45" customFormat="1" ht="18">
      <c r="C26" s="226"/>
      <c r="D26" s="224">
        <v>18</v>
      </c>
      <c r="E26" s="189" t="s">
        <v>21</v>
      </c>
      <c r="F26" s="117"/>
      <c r="G26" s="117">
        <v>2</v>
      </c>
      <c r="H26" s="117"/>
      <c r="I26" s="117">
        <v>2</v>
      </c>
      <c r="J26" s="117" t="s">
        <v>6</v>
      </c>
      <c r="K26" s="117" t="s">
        <v>5</v>
      </c>
      <c r="L26" s="117" t="s">
        <v>5</v>
      </c>
      <c r="M26" s="117"/>
      <c r="N26" s="118">
        <v>3</v>
      </c>
      <c r="O26" s="117"/>
      <c r="P26" s="118">
        <v>2</v>
      </c>
      <c r="Q26" s="117">
        <v>3</v>
      </c>
      <c r="R26" s="117"/>
      <c r="S26" s="117"/>
      <c r="T26" s="117">
        <v>3</v>
      </c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204"/>
      <c r="AK26" s="203"/>
      <c r="AL26" s="117"/>
      <c r="AM26" s="117"/>
      <c r="AN26" s="117"/>
      <c r="AO26" s="117"/>
      <c r="AP26" s="117"/>
      <c r="AQ26" s="117"/>
      <c r="AR26" s="117"/>
      <c r="AS26" s="117"/>
      <c r="AT26" s="119"/>
      <c r="AU26" s="119"/>
      <c r="AV26" s="119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</row>
    <row r="27" spans="3:67" s="45" customFormat="1" ht="18">
      <c r="C27" s="226"/>
      <c r="D27" s="224">
        <v>19</v>
      </c>
      <c r="E27" s="189" t="s">
        <v>22</v>
      </c>
      <c r="F27" s="117"/>
      <c r="G27" s="117">
        <v>2</v>
      </c>
      <c r="H27" s="117">
        <v>2</v>
      </c>
      <c r="I27" s="117" t="s">
        <v>5</v>
      </c>
      <c r="J27" s="117">
        <v>2</v>
      </c>
      <c r="K27" s="117"/>
      <c r="L27" s="117">
        <v>2</v>
      </c>
      <c r="M27" s="117" t="s">
        <v>5</v>
      </c>
      <c r="N27" s="118">
        <v>2</v>
      </c>
      <c r="O27" s="117" t="s">
        <v>5</v>
      </c>
      <c r="P27" s="118" t="s">
        <v>5</v>
      </c>
      <c r="Q27" s="117" t="s">
        <v>5</v>
      </c>
      <c r="R27" s="117"/>
      <c r="S27" s="117">
        <v>3</v>
      </c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204"/>
      <c r="AK27" s="203"/>
      <c r="AL27" s="117"/>
      <c r="AM27" s="117"/>
      <c r="AN27" s="117"/>
      <c r="AO27" s="117"/>
      <c r="AP27" s="117"/>
      <c r="AQ27" s="117"/>
      <c r="AR27" s="117"/>
      <c r="AS27" s="117"/>
      <c r="AT27" s="119"/>
      <c r="AU27" s="119"/>
      <c r="AV27" s="119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</row>
    <row r="28" spans="3:67" s="45" customFormat="1" ht="18">
      <c r="C28" s="226"/>
      <c r="D28" s="224">
        <v>20</v>
      </c>
      <c r="E28" s="189" t="s">
        <v>23</v>
      </c>
      <c r="F28" s="117">
        <v>3</v>
      </c>
      <c r="G28" s="117"/>
      <c r="H28" s="117">
        <v>2</v>
      </c>
      <c r="I28" s="117"/>
      <c r="J28" s="117">
        <v>2</v>
      </c>
      <c r="K28" s="117"/>
      <c r="L28" s="117">
        <v>3</v>
      </c>
      <c r="M28" s="117"/>
      <c r="N28" s="118">
        <v>3</v>
      </c>
      <c r="O28" s="117">
        <v>3</v>
      </c>
      <c r="P28" s="118" t="s">
        <v>5</v>
      </c>
      <c r="Q28" s="117" t="s">
        <v>6</v>
      </c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204"/>
      <c r="AK28" s="203"/>
      <c r="AL28" s="117"/>
      <c r="AM28" s="117"/>
      <c r="AN28" s="117"/>
      <c r="AO28" s="117"/>
      <c r="AP28" s="117"/>
      <c r="AQ28" s="117"/>
      <c r="AR28" s="117"/>
      <c r="AS28" s="117"/>
      <c r="AT28" s="119"/>
      <c r="AU28" s="119"/>
      <c r="AV28" s="119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</row>
    <row r="29" spans="3:67" s="45" customFormat="1" ht="18">
      <c r="C29" s="226"/>
      <c r="D29" s="224">
        <v>21</v>
      </c>
      <c r="E29" s="189" t="s">
        <v>24</v>
      </c>
      <c r="F29" s="117"/>
      <c r="G29" s="117">
        <v>3</v>
      </c>
      <c r="H29" s="117" t="s">
        <v>6</v>
      </c>
      <c r="I29" s="117">
        <v>2</v>
      </c>
      <c r="J29" s="117"/>
      <c r="K29" s="117">
        <v>2</v>
      </c>
      <c r="L29" s="117"/>
      <c r="M29" s="117">
        <v>3</v>
      </c>
      <c r="N29" s="118">
        <v>1</v>
      </c>
      <c r="O29" s="117">
        <v>3</v>
      </c>
      <c r="P29" s="118">
        <v>2</v>
      </c>
      <c r="Q29" s="117"/>
      <c r="R29" s="117">
        <v>3</v>
      </c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204"/>
      <c r="AK29" s="203"/>
      <c r="AL29" s="117"/>
      <c r="AM29" s="117"/>
      <c r="AN29" s="117"/>
      <c r="AO29" s="117"/>
      <c r="AP29" s="117"/>
      <c r="AQ29" s="117"/>
      <c r="AR29" s="117"/>
      <c r="AS29" s="117"/>
      <c r="AT29" s="119"/>
      <c r="AU29" s="119"/>
      <c r="AV29" s="119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</row>
    <row r="30" spans="3:67" s="45" customFormat="1" ht="18">
      <c r="C30" s="226"/>
      <c r="D30" s="224">
        <v>22</v>
      </c>
      <c r="E30" s="189" t="s">
        <v>25</v>
      </c>
      <c r="F30" s="117"/>
      <c r="G30" s="117">
        <v>2</v>
      </c>
      <c r="H30" s="119"/>
      <c r="I30" s="117">
        <v>4</v>
      </c>
      <c r="J30" s="117"/>
      <c r="K30" s="117">
        <v>4</v>
      </c>
      <c r="L30" s="117">
        <v>5</v>
      </c>
      <c r="M30" s="117"/>
      <c r="N30" s="118">
        <v>3</v>
      </c>
      <c r="O30" s="117" t="s">
        <v>7</v>
      </c>
      <c r="P30" s="118" t="s">
        <v>7</v>
      </c>
      <c r="Q30" s="117" t="s">
        <v>7</v>
      </c>
      <c r="R30" s="117"/>
      <c r="S30" s="117"/>
      <c r="T30" s="117">
        <v>4</v>
      </c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204"/>
      <c r="AK30" s="203"/>
      <c r="AL30" s="117"/>
      <c r="AM30" s="117"/>
      <c r="AN30" s="119"/>
      <c r="AO30" s="117"/>
      <c r="AP30" s="117"/>
      <c r="AQ30" s="117"/>
      <c r="AR30" s="117"/>
      <c r="AS30" s="117"/>
      <c r="AT30" s="119"/>
      <c r="AU30" s="119"/>
      <c r="AV30" s="119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</row>
    <row r="31" spans="3:67" s="45" customFormat="1" ht="18">
      <c r="C31" s="226"/>
      <c r="D31" s="224">
        <v>23</v>
      </c>
      <c r="E31" s="189" t="s">
        <v>26</v>
      </c>
      <c r="F31" s="117" t="s">
        <v>7</v>
      </c>
      <c r="G31" s="117" t="s">
        <v>7</v>
      </c>
      <c r="H31" s="117">
        <v>3</v>
      </c>
      <c r="I31" s="117">
        <v>3</v>
      </c>
      <c r="J31" s="117"/>
      <c r="K31" s="117">
        <v>2</v>
      </c>
      <c r="L31" s="117">
        <v>3</v>
      </c>
      <c r="M31" s="117"/>
      <c r="N31" s="118">
        <v>2</v>
      </c>
      <c r="O31" s="117" t="s">
        <v>6</v>
      </c>
      <c r="P31" s="118">
        <v>1</v>
      </c>
      <c r="Q31" s="117" t="s">
        <v>5</v>
      </c>
      <c r="R31" s="117"/>
      <c r="S31" s="117"/>
      <c r="T31" s="117"/>
      <c r="U31" s="117">
        <v>3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204"/>
      <c r="AK31" s="203"/>
      <c r="AL31" s="117"/>
      <c r="AM31" s="117"/>
      <c r="AN31" s="117"/>
      <c r="AO31" s="117"/>
      <c r="AP31" s="117"/>
      <c r="AQ31" s="117"/>
      <c r="AR31" s="117"/>
      <c r="AS31" s="117"/>
      <c r="AT31" s="119"/>
      <c r="AU31" s="119"/>
      <c r="AV31" s="119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</row>
    <row r="32" spans="3:67" s="45" customFormat="1" ht="18">
      <c r="C32" s="226"/>
      <c r="D32" s="224">
        <v>24</v>
      </c>
      <c r="E32" s="189" t="s">
        <v>27</v>
      </c>
      <c r="F32" s="117">
        <v>4</v>
      </c>
      <c r="G32" s="117"/>
      <c r="H32" s="119">
        <v>4</v>
      </c>
      <c r="I32" s="117">
        <v>2</v>
      </c>
      <c r="J32" s="117"/>
      <c r="K32" s="117">
        <v>2</v>
      </c>
      <c r="L32" s="117">
        <v>3</v>
      </c>
      <c r="M32" s="117"/>
      <c r="N32" s="118">
        <v>3</v>
      </c>
      <c r="O32" s="117"/>
      <c r="P32" s="118">
        <v>3</v>
      </c>
      <c r="Q32" s="117"/>
      <c r="R32" s="117"/>
      <c r="S32" s="117">
        <v>3</v>
      </c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204"/>
      <c r="AK32" s="203"/>
      <c r="AL32" s="117"/>
      <c r="AM32" s="117"/>
      <c r="AN32" s="119"/>
      <c r="AO32" s="117"/>
      <c r="AP32" s="117"/>
      <c r="AQ32" s="117"/>
      <c r="AR32" s="117"/>
      <c r="AS32" s="117"/>
      <c r="AT32" s="119"/>
      <c r="AU32" s="119"/>
      <c r="AV32" s="119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</row>
    <row r="33" spans="3:67" s="45" customFormat="1" ht="18">
      <c r="C33" s="226"/>
      <c r="D33" s="224">
        <v>25</v>
      </c>
      <c r="E33" s="189" t="s">
        <v>28</v>
      </c>
      <c r="F33" s="117">
        <v>3</v>
      </c>
      <c r="G33" s="119">
        <v>3</v>
      </c>
      <c r="H33" s="119">
        <v>2</v>
      </c>
      <c r="I33" s="117" t="s">
        <v>6</v>
      </c>
      <c r="J33" s="117" t="s">
        <v>6</v>
      </c>
      <c r="K33" s="117"/>
      <c r="L33" s="117"/>
      <c r="M33" s="117">
        <v>3</v>
      </c>
      <c r="N33" s="118">
        <v>3</v>
      </c>
      <c r="O33" s="117" t="s">
        <v>6</v>
      </c>
      <c r="P33" s="118" t="s">
        <v>6</v>
      </c>
      <c r="Q33" s="117" t="s">
        <v>6</v>
      </c>
      <c r="R33" s="117"/>
      <c r="S33" s="117"/>
      <c r="T33" s="117">
        <v>3</v>
      </c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204"/>
      <c r="AK33" s="203"/>
      <c r="AL33" s="117"/>
      <c r="AM33" s="119"/>
      <c r="AN33" s="119"/>
      <c r="AO33" s="117"/>
      <c r="AP33" s="117"/>
      <c r="AQ33" s="117"/>
      <c r="AR33" s="117"/>
      <c r="AS33" s="117"/>
      <c r="AT33" s="119"/>
      <c r="AU33" s="119"/>
      <c r="AV33" s="119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</row>
    <row r="34" spans="3:67" s="45" customFormat="1" ht="18">
      <c r="C34" s="226"/>
      <c r="D34" s="224">
        <v>26</v>
      </c>
      <c r="E34" s="189" t="s">
        <v>29</v>
      </c>
      <c r="F34" s="117">
        <v>5</v>
      </c>
      <c r="G34" s="117"/>
      <c r="H34" s="119">
        <v>5</v>
      </c>
      <c r="I34" s="117"/>
      <c r="J34" s="117">
        <v>5</v>
      </c>
      <c r="K34" s="117">
        <v>5</v>
      </c>
      <c r="L34" s="117" t="s">
        <v>5</v>
      </c>
      <c r="M34" s="117" t="s">
        <v>7</v>
      </c>
      <c r="N34" s="118" t="s">
        <v>7</v>
      </c>
      <c r="O34" s="117" t="s">
        <v>7</v>
      </c>
      <c r="P34" s="118" t="s">
        <v>6</v>
      </c>
      <c r="Q34" s="117" t="s">
        <v>6</v>
      </c>
      <c r="R34" s="117">
        <v>5</v>
      </c>
      <c r="S34" s="117">
        <v>5</v>
      </c>
      <c r="T34" s="117"/>
      <c r="U34" s="117">
        <v>4</v>
      </c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204"/>
      <c r="AK34" s="203"/>
      <c r="AL34" s="117"/>
      <c r="AM34" s="117"/>
      <c r="AN34" s="119"/>
      <c r="AO34" s="117"/>
      <c r="AP34" s="117"/>
      <c r="AQ34" s="117"/>
      <c r="AR34" s="117"/>
      <c r="AS34" s="117"/>
      <c r="AT34" s="119"/>
      <c r="AU34" s="119"/>
      <c r="AV34" s="119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</row>
    <row r="35" spans="3:67" s="45" customFormat="1" ht="18">
      <c r="C35" s="226"/>
      <c r="D35" s="224">
        <v>27</v>
      </c>
      <c r="E35" s="189" t="s">
        <v>30</v>
      </c>
      <c r="F35" s="117"/>
      <c r="G35" s="119">
        <v>2</v>
      </c>
      <c r="H35" s="119">
        <v>3</v>
      </c>
      <c r="I35" s="117"/>
      <c r="J35" s="117">
        <v>2</v>
      </c>
      <c r="K35" s="117"/>
      <c r="L35" s="117">
        <v>2</v>
      </c>
      <c r="M35" s="117"/>
      <c r="N35" s="118">
        <v>3</v>
      </c>
      <c r="O35" s="117"/>
      <c r="P35" s="118">
        <v>4</v>
      </c>
      <c r="Q35" s="117"/>
      <c r="R35" s="117"/>
      <c r="S35" s="117">
        <v>3</v>
      </c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204"/>
      <c r="AK35" s="203"/>
      <c r="AL35" s="117"/>
      <c r="AM35" s="119"/>
      <c r="AN35" s="119"/>
      <c r="AO35" s="117"/>
      <c r="AP35" s="117"/>
      <c r="AQ35" s="117"/>
      <c r="AR35" s="117"/>
      <c r="AS35" s="117"/>
      <c r="AT35" s="119"/>
      <c r="AU35" s="119"/>
      <c r="AV35" s="119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</row>
    <row r="36" spans="3:67" s="45" customFormat="1" ht="18">
      <c r="C36" s="226"/>
      <c r="D36" s="224">
        <v>28</v>
      </c>
      <c r="E36" s="189" t="s">
        <v>31</v>
      </c>
      <c r="F36" s="117" t="s">
        <v>6</v>
      </c>
      <c r="G36" s="117" t="s">
        <v>6</v>
      </c>
      <c r="H36" s="117" t="s">
        <v>6</v>
      </c>
      <c r="I36" s="117" t="s">
        <v>6</v>
      </c>
      <c r="J36" s="117" t="s">
        <v>6</v>
      </c>
      <c r="K36" s="117"/>
      <c r="L36" s="117"/>
      <c r="M36" s="117">
        <v>3</v>
      </c>
      <c r="N36" s="118">
        <v>3</v>
      </c>
      <c r="O36" s="117">
        <v>3</v>
      </c>
      <c r="P36" s="118">
        <v>2</v>
      </c>
      <c r="Q36" s="117">
        <v>2</v>
      </c>
      <c r="R36" s="117" t="s">
        <v>5</v>
      </c>
      <c r="S36" s="117"/>
      <c r="T36" s="117"/>
      <c r="U36" s="117">
        <v>3</v>
      </c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204"/>
      <c r="AK36" s="203"/>
      <c r="AL36" s="117"/>
      <c r="AM36" s="117"/>
      <c r="AN36" s="117"/>
      <c r="AO36" s="117"/>
      <c r="AP36" s="117"/>
      <c r="AQ36" s="117"/>
      <c r="AR36" s="117"/>
      <c r="AS36" s="117"/>
      <c r="AT36" s="119"/>
      <c r="AU36" s="119"/>
      <c r="AV36" s="119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</row>
    <row r="37" spans="3:67" s="45" customFormat="1" ht="18">
      <c r="C37" s="226" t="s">
        <v>257</v>
      </c>
      <c r="D37" s="224">
        <v>29</v>
      </c>
      <c r="E37" s="189" t="s">
        <v>219</v>
      </c>
      <c r="F37" s="206"/>
      <c r="G37" s="206"/>
      <c r="H37" s="206"/>
      <c r="I37" s="206"/>
      <c r="J37" s="206">
        <v>3</v>
      </c>
      <c r="K37" s="206"/>
      <c r="L37" s="119">
        <v>4</v>
      </c>
      <c r="M37" s="119">
        <v>3</v>
      </c>
      <c r="N37" s="119">
        <v>3</v>
      </c>
      <c r="O37" s="119">
        <v>4</v>
      </c>
      <c r="P37" s="119">
        <v>5</v>
      </c>
      <c r="Q37" s="119"/>
      <c r="R37" s="119">
        <v>3</v>
      </c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204"/>
      <c r="AK37" s="203"/>
      <c r="AL37" s="117"/>
      <c r="AM37" s="117"/>
      <c r="AN37" s="117"/>
      <c r="AO37" s="117"/>
      <c r="AP37" s="117"/>
      <c r="AQ37" s="117"/>
      <c r="AR37" s="117"/>
      <c r="AS37" s="117"/>
      <c r="AT37" s="119"/>
      <c r="AU37" s="119"/>
      <c r="AV37" s="119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</row>
    <row r="38" spans="3:67" s="45" customFormat="1" ht="18">
      <c r="C38" s="226"/>
      <c r="D38" s="224">
        <v>30</v>
      </c>
      <c r="E38" s="260"/>
      <c r="F38" s="117"/>
      <c r="G38" s="117"/>
      <c r="H38" s="117"/>
      <c r="I38" s="117"/>
      <c r="J38" s="117"/>
      <c r="K38" s="117"/>
      <c r="L38" s="117"/>
      <c r="M38" s="117"/>
      <c r="N38" s="118"/>
      <c r="O38" s="117"/>
      <c r="P38" s="118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204"/>
      <c r="AK38" s="203"/>
      <c r="AL38" s="117"/>
      <c r="AM38" s="117"/>
      <c r="AN38" s="117"/>
      <c r="AO38" s="117"/>
      <c r="AP38" s="117"/>
      <c r="AQ38" s="117"/>
      <c r="AR38" s="117"/>
      <c r="AS38" s="117"/>
      <c r="AT38" s="119"/>
      <c r="AU38" s="119"/>
      <c r="AV38" s="119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</row>
    <row r="39" spans="3:67" s="45" customFormat="1" ht="18">
      <c r="C39" s="226"/>
      <c r="D39" s="224">
        <v>31</v>
      </c>
      <c r="E39" s="260"/>
      <c r="F39" s="117"/>
      <c r="G39" s="117"/>
      <c r="H39" s="117"/>
      <c r="I39" s="117"/>
      <c r="J39" s="117"/>
      <c r="K39" s="117"/>
      <c r="L39" s="117"/>
      <c r="M39" s="117"/>
      <c r="N39" s="118"/>
      <c r="O39" s="117"/>
      <c r="P39" s="118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204"/>
      <c r="AK39" s="203"/>
      <c r="AL39" s="117"/>
      <c r="AM39" s="117"/>
      <c r="AN39" s="117"/>
      <c r="AO39" s="117"/>
      <c r="AP39" s="117"/>
      <c r="AQ39" s="117"/>
      <c r="AR39" s="117"/>
      <c r="AS39" s="117"/>
      <c r="AT39" s="119"/>
      <c r="AU39" s="119"/>
      <c r="AV39" s="119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</row>
    <row r="40" spans="3:67" s="45" customFormat="1" ht="18">
      <c r="C40" s="226"/>
      <c r="D40" s="224">
        <v>32</v>
      </c>
      <c r="E40" s="260"/>
      <c r="F40" s="117"/>
      <c r="G40" s="117"/>
      <c r="H40" s="117"/>
      <c r="I40" s="117"/>
      <c r="J40" s="117"/>
      <c r="K40" s="117"/>
      <c r="L40" s="117"/>
      <c r="M40" s="117"/>
      <c r="N40" s="118"/>
      <c r="O40" s="117"/>
      <c r="P40" s="118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204"/>
      <c r="AK40" s="203"/>
      <c r="AL40" s="117"/>
      <c r="AM40" s="117"/>
      <c r="AN40" s="117"/>
      <c r="AO40" s="117"/>
      <c r="AP40" s="117"/>
      <c r="AQ40" s="117"/>
      <c r="AR40" s="117"/>
      <c r="AS40" s="117"/>
      <c r="AT40" s="119"/>
      <c r="AU40" s="119"/>
      <c r="AV40" s="119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</row>
    <row r="41" spans="3:67" s="45" customFormat="1" ht="18">
      <c r="C41" s="226"/>
      <c r="D41" s="224">
        <v>33</v>
      </c>
      <c r="E41" s="260"/>
      <c r="F41" s="117"/>
      <c r="G41" s="117"/>
      <c r="H41" s="117"/>
      <c r="I41" s="117"/>
      <c r="J41" s="117"/>
      <c r="K41" s="117"/>
      <c r="L41" s="117"/>
      <c r="M41" s="117"/>
      <c r="N41" s="118"/>
      <c r="O41" s="117"/>
      <c r="P41" s="118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204"/>
      <c r="AK41" s="203"/>
      <c r="AL41" s="117"/>
      <c r="AM41" s="117"/>
      <c r="AN41" s="117"/>
      <c r="AO41" s="117"/>
      <c r="AP41" s="117"/>
      <c r="AQ41" s="117"/>
      <c r="AR41" s="117"/>
      <c r="AS41" s="117"/>
      <c r="AT41" s="119"/>
      <c r="AU41" s="119"/>
      <c r="AV41" s="119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</row>
    <row r="42" spans="3:67" s="45" customFormat="1" ht="18">
      <c r="C42" s="226"/>
      <c r="D42" s="224">
        <v>34</v>
      </c>
      <c r="E42" s="260"/>
      <c r="F42" s="117"/>
      <c r="G42" s="117"/>
      <c r="H42" s="117"/>
      <c r="I42" s="117"/>
      <c r="J42" s="117"/>
      <c r="K42" s="117"/>
      <c r="L42" s="117"/>
      <c r="M42" s="117"/>
      <c r="N42" s="118"/>
      <c r="O42" s="117"/>
      <c r="P42" s="118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204"/>
      <c r="AK42" s="203"/>
      <c r="AL42" s="117"/>
      <c r="AM42" s="117"/>
      <c r="AN42" s="117"/>
      <c r="AO42" s="117"/>
      <c r="AP42" s="117"/>
      <c r="AQ42" s="117"/>
      <c r="AR42" s="117"/>
      <c r="AS42" s="117"/>
      <c r="AT42" s="119"/>
      <c r="AU42" s="119"/>
      <c r="AV42" s="119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</row>
    <row r="43" spans="3:67" s="45" customFormat="1" ht="18.75" thickBot="1">
      <c r="C43" s="226"/>
      <c r="D43" s="224">
        <v>35</v>
      </c>
      <c r="E43" s="276"/>
      <c r="F43" s="269"/>
      <c r="G43" s="269"/>
      <c r="H43" s="269"/>
      <c r="I43" s="269"/>
      <c r="J43" s="269"/>
      <c r="K43" s="269"/>
      <c r="L43" s="269"/>
      <c r="M43" s="269"/>
      <c r="N43" s="270"/>
      <c r="O43" s="269"/>
      <c r="P43" s="270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04"/>
      <c r="AK43" s="203"/>
      <c r="AL43" s="117"/>
      <c r="AM43" s="117"/>
      <c r="AN43" s="117"/>
      <c r="AO43" s="117"/>
      <c r="AP43" s="117"/>
      <c r="AQ43" s="117"/>
      <c r="AR43" s="117"/>
      <c r="AS43" s="117"/>
      <c r="AT43" s="119"/>
      <c r="AU43" s="119"/>
      <c r="AV43" s="119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</row>
    <row r="44" spans="3:67" ht="134.25" thickBot="1" thickTop="1">
      <c r="C44" s="225"/>
      <c r="D44" s="234">
        <f>COUNTA(E9:E43)-COUNTIF(C9:C43,"-")</f>
        <v>27</v>
      </c>
      <c r="E44" s="277" t="s">
        <v>69</v>
      </c>
      <c r="F44" s="278" t="s">
        <v>64</v>
      </c>
      <c r="G44" s="278" t="s">
        <v>65</v>
      </c>
      <c r="H44" s="278" t="s">
        <v>66</v>
      </c>
      <c r="I44" s="278" t="s">
        <v>67</v>
      </c>
      <c r="J44" s="278" t="s">
        <v>68</v>
      </c>
      <c r="K44" s="278" t="s">
        <v>70</v>
      </c>
      <c r="L44" s="278" t="s">
        <v>71</v>
      </c>
      <c r="M44" s="278" t="s">
        <v>103</v>
      </c>
      <c r="N44" s="278"/>
      <c r="O44" s="278" t="s">
        <v>104</v>
      </c>
      <c r="P44" s="278" t="s">
        <v>72</v>
      </c>
      <c r="Q44" s="278" t="s">
        <v>73</v>
      </c>
      <c r="R44" s="278" t="s">
        <v>74</v>
      </c>
      <c r="S44" s="278" t="s">
        <v>75</v>
      </c>
      <c r="T44" s="278" t="s">
        <v>76</v>
      </c>
      <c r="U44" s="278" t="s">
        <v>77</v>
      </c>
      <c r="V44" s="278"/>
      <c r="W44" s="278"/>
      <c r="X44" s="278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</row>
    <row r="45" spans="4:35" ht="18.75" customHeight="1" thickTop="1">
      <c r="D45" s="207"/>
      <c r="E45" s="208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</row>
    <row r="46" spans="4:35" ht="18.75" customHeight="1" thickBot="1">
      <c r="D46" s="207"/>
      <c r="E46" s="208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</row>
    <row r="47" spans="4:35" ht="18.75" customHeight="1" hidden="1" thickBot="1">
      <c r="D47" s="207"/>
      <c r="E47" s="208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</row>
    <row r="48" spans="4:35" ht="18.75" hidden="1">
      <c r="D48" s="207"/>
      <c r="E48" s="208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</row>
    <row r="49" spans="4:35" ht="18.75" hidden="1">
      <c r="D49" s="207"/>
      <c r="E49" s="208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</row>
    <row r="50" spans="4:35" ht="18.75" hidden="1">
      <c r="D50" s="207"/>
      <c r="E50" s="208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</row>
    <row r="51" spans="4:35" ht="18.75" hidden="1">
      <c r="D51" s="207"/>
      <c r="E51" s="208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</row>
    <row r="52" spans="4:35" ht="18.75" hidden="1">
      <c r="D52" s="207"/>
      <c r="E52" s="208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</row>
    <row r="53" spans="4:35" ht="18.75" hidden="1">
      <c r="D53" s="207"/>
      <c r="E53" s="208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</row>
    <row r="54" spans="4:35" ht="18.75" hidden="1">
      <c r="D54" s="207"/>
      <c r="E54" s="208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</row>
    <row r="55" spans="5:58" ht="12.75" hidden="1">
      <c r="E55" s="78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</row>
    <row r="56" spans="5:58" ht="12.75" hidden="1">
      <c r="E56" s="78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</row>
    <row r="57" spans="5:58" ht="12.75" hidden="1">
      <c r="E57" s="78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</row>
    <row r="58" spans="5:58" ht="12.75" hidden="1">
      <c r="E58" s="78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</row>
    <row r="59" spans="5:58" ht="12.75" hidden="1">
      <c r="E59" s="78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</row>
    <row r="60" spans="5:58" ht="12.75" hidden="1">
      <c r="E60" s="78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</row>
    <row r="61" spans="5:58" ht="12.75" hidden="1">
      <c r="E61" s="78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</row>
    <row r="62" spans="5:58" ht="13.5" hidden="1" thickBot="1">
      <c r="E62" s="78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</row>
    <row r="63" spans="3:58" ht="19.5" thickBot="1" thickTop="1">
      <c r="C63" s="235"/>
      <c r="D63" s="47">
        <v>8</v>
      </c>
      <c r="E63" s="261" t="s">
        <v>202</v>
      </c>
      <c r="F63" s="267"/>
      <c r="G63" s="306" t="s">
        <v>203</v>
      </c>
      <c r="H63" s="312"/>
      <c r="I63" s="313" t="s">
        <v>204</v>
      </c>
      <c r="J63" s="314"/>
      <c r="K63" s="314"/>
      <c r="L63" s="315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</row>
    <row r="64" spans="3:58" ht="21.75" thickBot="1" thickTop="1">
      <c r="C64" s="228"/>
      <c r="D64" s="47">
        <v>2</v>
      </c>
      <c r="E64" s="62">
        <f ca="1">NOW()</f>
        <v>39252.589404398146</v>
      </c>
      <c r="G64" s="193" t="s">
        <v>82</v>
      </c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6"/>
      <c r="U64" s="8"/>
      <c r="V64" s="8"/>
      <c r="W64" s="8"/>
      <c r="X64" s="8"/>
      <c r="Y64" s="8"/>
      <c r="Z64" s="8"/>
      <c r="AA64" s="122"/>
      <c r="AB64" s="122"/>
      <c r="AC64" s="122"/>
      <c r="AD64" s="8"/>
      <c r="AE64" s="8"/>
      <c r="AF64" s="8"/>
      <c r="AG64" s="8"/>
      <c r="AH64" s="8"/>
      <c r="AI64" s="8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</row>
    <row r="65" spans="3:58" ht="224.25" thickTop="1">
      <c r="C65" s="310" t="s">
        <v>256</v>
      </c>
      <c r="D65" s="197" t="s">
        <v>190</v>
      </c>
      <c r="E65" s="198" t="s">
        <v>210</v>
      </c>
      <c r="F65" s="121" t="s">
        <v>192</v>
      </c>
      <c r="G65" s="123" t="s">
        <v>193</v>
      </c>
      <c r="H65" s="199" t="s">
        <v>94</v>
      </c>
      <c r="I65" s="121" t="s">
        <v>194</v>
      </c>
      <c r="J65" s="121" t="s">
        <v>98</v>
      </c>
      <c r="K65" s="121" t="s">
        <v>99</v>
      </c>
      <c r="L65" s="199" t="s">
        <v>95</v>
      </c>
      <c r="M65" s="121" t="s">
        <v>195</v>
      </c>
      <c r="N65" s="199" t="s">
        <v>96</v>
      </c>
      <c r="O65" s="199" t="s">
        <v>97</v>
      </c>
      <c r="P65" s="211" t="s">
        <v>178</v>
      </c>
      <c r="Q65" s="121" t="s">
        <v>100</v>
      </c>
      <c r="R65" s="121" t="s">
        <v>101</v>
      </c>
      <c r="S65" s="123" t="s">
        <v>196</v>
      </c>
      <c r="T65" s="121" t="s">
        <v>102</v>
      </c>
      <c r="U65" s="199" t="s">
        <v>58</v>
      </c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8"/>
      <c r="AH65" s="8"/>
      <c r="AI65" s="8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</row>
    <row r="66" spans="3:58" ht="18">
      <c r="C66" s="311"/>
      <c r="D66" s="8"/>
      <c r="E66" s="112" t="s">
        <v>0</v>
      </c>
      <c r="F66" s="200">
        <v>1</v>
      </c>
      <c r="G66" s="200">
        <v>2</v>
      </c>
      <c r="H66" s="200">
        <v>3</v>
      </c>
      <c r="I66" s="200">
        <v>4</v>
      </c>
      <c r="J66" s="200">
        <v>5</v>
      </c>
      <c r="K66" s="200">
        <v>6</v>
      </c>
      <c r="L66" s="200">
        <v>7</v>
      </c>
      <c r="M66" s="200">
        <v>8</v>
      </c>
      <c r="N66" s="200">
        <v>9</v>
      </c>
      <c r="O66" s="200">
        <v>10</v>
      </c>
      <c r="P66" s="200">
        <v>11</v>
      </c>
      <c r="Q66" s="200">
        <v>12</v>
      </c>
      <c r="R66" s="200">
        <v>13</v>
      </c>
      <c r="S66" s="200">
        <v>14</v>
      </c>
      <c r="T66" s="200">
        <v>15</v>
      </c>
      <c r="U66" s="200">
        <v>16</v>
      </c>
      <c r="V66" s="200">
        <v>17</v>
      </c>
      <c r="W66" s="200">
        <v>18</v>
      </c>
      <c r="X66" s="200">
        <v>19</v>
      </c>
      <c r="Y66" s="200">
        <v>20</v>
      </c>
      <c r="Z66" s="200">
        <v>21</v>
      </c>
      <c r="AA66" s="200">
        <v>22</v>
      </c>
      <c r="AB66" s="200">
        <v>23</v>
      </c>
      <c r="AC66" s="200">
        <v>24</v>
      </c>
      <c r="AD66" s="200">
        <v>25</v>
      </c>
      <c r="AE66" s="200">
        <v>26</v>
      </c>
      <c r="AF66" s="200">
        <v>27</v>
      </c>
      <c r="AG66" s="200">
        <v>28</v>
      </c>
      <c r="AH66" s="200">
        <v>29</v>
      </c>
      <c r="AI66" s="200">
        <v>30</v>
      </c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</row>
    <row r="67" spans="2:58" ht="25.5">
      <c r="B67" s="7"/>
      <c r="C67" s="311"/>
      <c r="D67" s="212" t="s">
        <v>1</v>
      </c>
      <c r="E67" s="219" t="str">
        <f>"Учащихся   "&amp;D104</f>
        <v>Учащихся   28</v>
      </c>
      <c r="F67" s="117" t="s">
        <v>3</v>
      </c>
      <c r="G67" s="117" t="s">
        <v>3</v>
      </c>
      <c r="H67" s="117" t="s">
        <v>3</v>
      </c>
      <c r="I67" s="117" t="s">
        <v>3</v>
      </c>
      <c r="J67" s="117" t="s">
        <v>3</v>
      </c>
      <c r="K67" s="117" t="s">
        <v>3</v>
      </c>
      <c r="L67" s="117" t="s">
        <v>3</v>
      </c>
      <c r="M67" s="117" t="s">
        <v>3</v>
      </c>
      <c r="N67" s="117" t="s">
        <v>3</v>
      </c>
      <c r="O67" s="117" t="s">
        <v>3</v>
      </c>
      <c r="P67" s="117" t="s">
        <v>3</v>
      </c>
      <c r="Q67" s="117" t="s">
        <v>3</v>
      </c>
      <c r="R67" s="117" t="s">
        <v>3</v>
      </c>
      <c r="S67" s="117" t="s">
        <v>3</v>
      </c>
      <c r="T67" s="117" t="s">
        <v>3</v>
      </c>
      <c r="U67" s="117" t="s">
        <v>3</v>
      </c>
      <c r="V67" s="117" t="s">
        <v>3</v>
      </c>
      <c r="W67" s="117" t="s">
        <v>3</v>
      </c>
      <c r="X67" s="117" t="s">
        <v>3</v>
      </c>
      <c r="Y67" s="117" t="s">
        <v>3</v>
      </c>
      <c r="Z67" s="117" t="s">
        <v>3</v>
      </c>
      <c r="AA67" s="117" t="s">
        <v>3</v>
      </c>
      <c r="AB67" s="117" t="s">
        <v>3</v>
      </c>
      <c r="AC67" s="117" t="s">
        <v>3</v>
      </c>
      <c r="AD67" s="117" t="s">
        <v>3</v>
      </c>
      <c r="AE67" s="117" t="s">
        <v>3</v>
      </c>
      <c r="AF67" s="117" t="s">
        <v>3</v>
      </c>
      <c r="AG67" s="117" t="s">
        <v>3</v>
      </c>
      <c r="AH67" s="117" t="s">
        <v>3</v>
      </c>
      <c r="AI67" s="117" t="s">
        <v>3</v>
      </c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</row>
    <row r="68" spans="3:35" ht="18.75" customHeight="1">
      <c r="C68" s="311"/>
      <c r="D68" s="204"/>
      <c r="E68" s="213" t="s">
        <v>2</v>
      </c>
      <c r="F68" s="202">
        <v>39028</v>
      </c>
      <c r="G68" s="202">
        <v>39032</v>
      </c>
      <c r="H68" s="202">
        <v>39035</v>
      </c>
      <c r="I68" s="202">
        <v>39039</v>
      </c>
      <c r="J68" s="202">
        <v>39042</v>
      </c>
      <c r="K68" s="202">
        <v>39046</v>
      </c>
      <c r="L68" s="202">
        <v>39049</v>
      </c>
      <c r="M68" s="202">
        <v>39053</v>
      </c>
      <c r="N68" s="202">
        <v>39056</v>
      </c>
      <c r="O68" s="202">
        <v>39060</v>
      </c>
      <c r="P68" s="202">
        <v>39063</v>
      </c>
      <c r="Q68" s="202">
        <v>39067</v>
      </c>
      <c r="R68" s="202">
        <v>39070</v>
      </c>
      <c r="S68" s="202">
        <v>39074</v>
      </c>
      <c r="T68" s="202">
        <v>39077</v>
      </c>
      <c r="U68" s="202">
        <v>39081</v>
      </c>
      <c r="V68" s="202"/>
      <c r="W68" s="202"/>
      <c r="X68" s="214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</row>
    <row r="69" spans="3:35" ht="18.75" customHeight="1">
      <c r="C69" s="226"/>
      <c r="D69" s="215">
        <v>1</v>
      </c>
      <c r="E69" s="189" t="str">
        <f aca="true" t="shared" si="0" ref="E69:E103">IF(E9="","",E9)</f>
        <v>Алексеева Настя</v>
      </c>
      <c r="F69" s="117">
        <v>3</v>
      </c>
      <c r="G69" s="118">
        <v>4</v>
      </c>
      <c r="H69" s="117">
        <v>4</v>
      </c>
      <c r="I69" s="117"/>
      <c r="J69" s="117">
        <v>5</v>
      </c>
      <c r="K69" s="117"/>
      <c r="L69" s="117">
        <v>3</v>
      </c>
      <c r="M69" s="117" t="s">
        <v>5</v>
      </c>
      <c r="N69" s="117">
        <v>2</v>
      </c>
      <c r="O69" s="117"/>
      <c r="P69" s="118">
        <v>1</v>
      </c>
      <c r="Q69" s="117" t="s">
        <v>5</v>
      </c>
      <c r="R69" s="117"/>
      <c r="S69" s="118">
        <v>3</v>
      </c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</row>
    <row r="70" spans="3:35" ht="18.75">
      <c r="C70" s="226"/>
      <c r="D70" s="215">
        <v>2</v>
      </c>
      <c r="E70" s="189" t="str">
        <f t="shared" si="0"/>
        <v>Богоутдинов Данил</v>
      </c>
      <c r="F70" s="117"/>
      <c r="G70" s="118">
        <v>3</v>
      </c>
      <c r="H70" s="117">
        <v>2</v>
      </c>
      <c r="I70" s="117" t="s">
        <v>5</v>
      </c>
      <c r="J70" s="117">
        <v>2</v>
      </c>
      <c r="K70" s="117" t="s">
        <v>6</v>
      </c>
      <c r="L70" s="117">
        <v>3</v>
      </c>
      <c r="M70" s="117"/>
      <c r="N70" s="117" t="s">
        <v>7</v>
      </c>
      <c r="O70" s="117">
        <v>4</v>
      </c>
      <c r="P70" s="118">
        <v>4</v>
      </c>
      <c r="Q70" s="117" t="s">
        <v>5</v>
      </c>
      <c r="R70" s="117"/>
      <c r="S70" s="118">
        <v>4</v>
      </c>
      <c r="T70" s="117">
        <v>3</v>
      </c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</row>
    <row r="71" spans="3:46" ht="18.75">
      <c r="C71" s="226"/>
      <c r="D71" s="215">
        <v>3</v>
      </c>
      <c r="E71" s="189" t="str">
        <f t="shared" si="0"/>
        <v>Бавеян Рафик</v>
      </c>
      <c r="F71" s="117">
        <v>3</v>
      </c>
      <c r="G71" s="118">
        <v>4</v>
      </c>
      <c r="H71" s="117"/>
      <c r="I71" s="117">
        <v>4</v>
      </c>
      <c r="J71" s="117">
        <v>2</v>
      </c>
      <c r="K71" s="117">
        <v>3</v>
      </c>
      <c r="L71" s="117" t="s">
        <v>6</v>
      </c>
      <c r="M71" s="117" t="s">
        <v>6</v>
      </c>
      <c r="N71" s="117"/>
      <c r="O71" s="117">
        <v>3</v>
      </c>
      <c r="P71" s="118"/>
      <c r="Q71" s="117"/>
      <c r="R71" s="117">
        <v>3</v>
      </c>
      <c r="S71" s="118">
        <v>3</v>
      </c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O71" s="45"/>
      <c r="AP71" s="45"/>
      <c r="AQ71" s="45"/>
      <c r="AR71" s="45"/>
      <c r="AS71" s="45"/>
      <c r="AT71" s="45"/>
    </row>
    <row r="72" spans="3:46" ht="18.75">
      <c r="C72" s="226"/>
      <c r="D72" s="215">
        <v>4</v>
      </c>
      <c r="E72" s="189" t="str">
        <f t="shared" si="0"/>
        <v>Бахметьев Михаил</v>
      </c>
      <c r="F72" s="117" t="s">
        <v>5</v>
      </c>
      <c r="G72" s="118">
        <v>3</v>
      </c>
      <c r="H72" s="117">
        <v>2</v>
      </c>
      <c r="I72" s="117"/>
      <c r="J72" s="117">
        <v>4</v>
      </c>
      <c r="K72" s="117"/>
      <c r="L72" s="117">
        <v>4</v>
      </c>
      <c r="M72" s="117">
        <v>2</v>
      </c>
      <c r="N72" s="117">
        <v>3</v>
      </c>
      <c r="O72" s="117">
        <v>3</v>
      </c>
      <c r="P72" s="118">
        <v>3</v>
      </c>
      <c r="Q72" s="117"/>
      <c r="R72" s="117"/>
      <c r="S72" s="118">
        <v>4</v>
      </c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O72" s="45"/>
      <c r="AP72" s="45"/>
      <c r="AQ72" s="45"/>
      <c r="AR72" s="45"/>
      <c r="AS72" s="45"/>
      <c r="AT72" s="45"/>
    </row>
    <row r="73" spans="3:46" ht="18.75">
      <c r="C73" s="226" t="s">
        <v>255</v>
      </c>
      <c r="D73" s="215">
        <v>5</v>
      </c>
      <c r="E73" s="189" t="str">
        <f t="shared" si="0"/>
        <v>Бузгин Иван</v>
      </c>
      <c r="F73" s="117"/>
      <c r="G73" s="118"/>
      <c r="H73" s="117"/>
      <c r="I73" s="117"/>
      <c r="J73" s="117"/>
      <c r="K73" s="117"/>
      <c r="L73" s="117"/>
      <c r="M73" s="117"/>
      <c r="N73" s="117"/>
      <c r="O73" s="117"/>
      <c r="P73" s="118"/>
      <c r="Q73" s="117"/>
      <c r="R73" s="117"/>
      <c r="S73" s="118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O73" s="45"/>
      <c r="AP73" s="45"/>
      <c r="AQ73" s="45"/>
      <c r="AR73" s="45"/>
      <c r="AS73" s="45"/>
      <c r="AT73" s="45"/>
    </row>
    <row r="74" spans="3:35" ht="18.75">
      <c r="C74" s="226"/>
      <c r="D74" s="215">
        <v>6</v>
      </c>
      <c r="E74" s="189" t="str">
        <f t="shared" si="0"/>
        <v>Валеев Руслан</v>
      </c>
      <c r="F74" s="117"/>
      <c r="G74" s="118">
        <v>4</v>
      </c>
      <c r="H74" s="117">
        <v>5</v>
      </c>
      <c r="I74" s="117"/>
      <c r="J74" s="117">
        <v>3</v>
      </c>
      <c r="K74" s="117">
        <v>4</v>
      </c>
      <c r="L74" s="117" t="s">
        <v>5</v>
      </c>
      <c r="M74" s="117"/>
      <c r="N74" s="117">
        <v>3</v>
      </c>
      <c r="O74" s="117"/>
      <c r="P74" s="118">
        <v>4</v>
      </c>
      <c r="Q74" s="117">
        <v>3</v>
      </c>
      <c r="R74" s="117"/>
      <c r="S74" s="118">
        <v>4</v>
      </c>
      <c r="T74" s="117">
        <v>3</v>
      </c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</row>
    <row r="75" spans="3:35" ht="18.75">
      <c r="C75" s="226"/>
      <c r="D75" s="215">
        <v>7</v>
      </c>
      <c r="E75" s="189" t="str">
        <f t="shared" si="0"/>
        <v>Власов Владимир</v>
      </c>
      <c r="F75" s="117"/>
      <c r="G75" s="118">
        <v>4</v>
      </c>
      <c r="H75" s="117">
        <v>2</v>
      </c>
      <c r="I75" s="117">
        <v>3</v>
      </c>
      <c r="J75" s="117"/>
      <c r="K75" s="117">
        <v>3</v>
      </c>
      <c r="L75" s="117"/>
      <c r="M75" s="117">
        <v>3</v>
      </c>
      <c r="N75" s="117" t="s">
        <v>5</v>
      </c>
      <c r="O75" s="117"/>
      <c r="P75" s="118">
        <v>1</v>
      </c>
      <c r="Q75" s="117"/>
      <c r="R75" s="117">
        <v>3</v>
      </c>
      <c r="S75" s="118">
        <v>3</v>
      </c>
      <c r="T75" s="117"/>
      <c r="U75" s="117">
        <v>3</v>
      </c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</row>
    <row r="76" spans="3:35" ht="18.75">
      <c r="C76" s="226"/>
      <c r="D76" s="215">
        <v>8</v>
      </c>
      <c r="E76" s="189" t="str">
        <f t="shared" si="0"/>
        <v>Головина Дарья</v>
      </c>
      <c r="F76" s="117"/>
      <c r="G76" s="118">
        <v>5</v>
      </c>
      <c r="H76" s="117"/>
      <c r="I76" s="117"/>
      <c r="J76" s="117">
        <v>4</v>
      </c>
      <c r="K76" s="117"/>
      <c r="L76" s="117">
        <v>3</v>
      </c>
      <c r="M76" s="117">
        <v>3</v>
      </c>
      <c r="N76" s="117">
        <v>4</v>
      </c>
      <c r="O76" s="117">
        <v>3</v>
      </c>
      <c r="P76" s="118">
        <v>5</v>
      </c>
      <c r="Q76" s="117"/>
      <c r="R76" s="117"/>
      <c r="S76" s="118">
        <v>4</v>
      </c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</row>
    <row r="77" spans="3:35" ht="18.75">
      <c r="C77" s="226" t="s">
        <v>255</v>
      </c>
      <c r="D77" s="215">
        <v>9</v>
      </c>
      <c r="E77" s="189" t="str">
        <f t="shared" si="0"/>
        <v>Грачёв Михаил</v>
      </c>
      <c r="F77" s="117" t="s">
        <v>7</v>
      </c>
      <c r="G77" s="118">
        <v>4</v>
      </c>
      <c r="H77" s="117">
        <v>3</v>
      </c>
      <c r="I77" s="117"/>
      <c r="J77" s="117">
        <v>4</v>
      </c>
      <c r="K77" s="117"/>
      <c r="L77" s="117">
        <v>2</v>
      </c>
      <c r="M77" s="117"/>
      <c r="N77" s="117">
        <v>2</v>
      </c>
      <c r="O77" s="117"/>
      <c r="P77" s="118">
        <v>3</v>
      </c>
      <c r="Q77" s="117">
        <v>3</v>
      </c>
      <c r="R77" s="117"/>
      <c r="S77" s="118">
        <v>4</v>
      </c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</row>
    <row r="78" spans="3:35" ht="18.75">
      <c r="C78" s="226"/>
      <c r="D78" s="215">
        <v>10</v>
      </c>
      <c r="E78" s="189" t="str">
        <f t="shared" si="0"/>
        <v>Добрынин Павел</v>
      </c>
      <c r="F78" s="117">
        <v>4</v>
      </c>
      <c r="G78" s="118">
        <v>5</v>
      </c>
      <c r="H78" s="117"/>
      <c r="I78" s="117">
        <v>4</v>
      </c>
      <c r="J78" s="117"/>
      <c r="K78" s="117">
        <v>4</v>
      </c>
      <c r="L78" s="117"/>
      <c r="M78" s="117">
        <v>3</v>
      </c>
      <c r="N78" s="117">
        <v>3</v>
      </c>
      <c r="O78" s="117">
        <v>5</v>
      </c>
      <c r="P78" s="118">
        <v>4</v>
      </c>
      <c r="Q78" s="117"/>
      <c r="R78" s="117"/>
      <c r="S78" s="118">
        <v>3</v>
      </c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</row>
    <row r="79" spans="3:35" ht="18.75">
      <c r="C79" s="226"/>
      <c r="D79" s="215">
        <v>11</v>
      </c>
      <c r="E79" s="189" t="str">
        <f t="shared" si="0"/>
        <v>Жарков Егор</v>
      </c>
      <c r="F79" s="117"/>
      <c r="G79" s="118">
        <v>3</v>
      </c>
      <c r="H79" s="117"/>
      <c r="I79" s="117">
        <v>4</v>
      </c>
      <c r="J79" s="117"/>
      <c r="K79" s="117">
        <v>4</v>
      </c>
      <c r="L79" s="117"/>
      <c r="M79" s="117">
        <v>3</v>
      </c>
      <c r="N79" s="117">
        <v>3</v>
      </c>
      <c r="O79" s="117">
        <v>4</v>
      </c>
      <c r="P79" s="118">
        <v>3</v>
      </c>
      <c r="Q79" s="117"/>
      <c r="R79" s="117"/>
      <c r="S79" s="118">
        <v>4</v>
      </c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</row>
    <row r="80" spans="3:35" ht="18.75">
      <c r="C80" s="226"/>
      <c r="D80" s="215">
        <v>12</v>
      </c>
      <c r="E80" s="189" t="str">
        <f t="shared" si="0"/>
        <v>Заева Владлена</v>
      </c>
      <c r="F80" s="117"/>
      <c r="G80" s="118">
        <v>4</v>
      </c>
      <c r="H80" s="117">
        <v>5</v>
      </c>
      <c r="I80" s="117"/>
      <c r="J80" s="117">
        <v>3</v>
      </c>
      <c r="K80" s="117"/>
      <c r="L80" s="117">
        <v>3</v>
      </c>
      <c r="M80" s="117"/>
      <c r="N80" s="117">
        <v>5</v>
      </c>
      <c r="O80" s="117"/>
      <c r="P80" s="118">
        <v>2</v>
      </c>
      <c r="Q80" s="117"/>
      <c r="R80" s="117">
        <v>4</v>
      </c>
      <c r="S80" s="118">
        <v>3</v>
      </c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</row>
    <row r="81" spans="3:35" ht="18.75">
      <c r="C81" s="226"/>
      <c r="D81" s="215">
        <v>13</v>
      </c>
      <c r="E81" s="189" t="str">
        <f t="shared" si="0"/>
        <v>Игошева Анастасия</v>
      </c>
      <c r="F81" s="117" t="s">
        <v>5</v>
      </c>
      <c r="G81" s="118" t="s">
        <v>5</v>
      </c>
      <c r="H81" s="117" t="s">
        <v>5</v>
      </c>
      <c r="I81" s="117">
        <v>3</v>
      </c>
      <c r="J81" s="117">
        <v>3</v>
      </c>
      <c r="K81" s="117" t="s">
        <v>6</v>
      </c>
      <c r="L81" s="117"/>
      <c r="M81" s="117"/>
      <c r="N81" s="117">
        <v>3</v>
      </c>
      <c r="O81" s="117"/>
      <c r="P81" s="118">
        <v>2</v>
      </c>
      <c r="Q81" s="117">
        <v>4</v>
      </c>
      <c r="R81" s="117"/>
      <c r="S81" s="118">
        <v>3</v>
      </c>
      <c r="T81" s="117"/>
      <c r="U81" s="117">
        <v>3</v>
      </c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</row>
    <row r="82" spans="3:35" ht="18.75">
      <c r="C82" s="226"/>
      <c r="D82" s="215">
        <v>14</v>
      </c>
      <c r="E82" s="189" t="str">
        <f t="shared" si="0"/>
        <v>Казанцев Андрей</v>
      </c>
      <c r="F82" s="117">
        <v>3</v>
      </c>
      <c r="G82" s="118" t="s">
        <v>5</v>
      </c>
      <c r="H82" s="117" t="s">
        <v>5</v>
      </c>
      <c r="I82" s="117" t="s">
        <v>5</v>
      </c>
      <c r="J82" s="117"/>
      <c r="K82" s="117">
        <v>3</v>
      </c>
      <c r="L82" s="117"/>
      <c r="M82" s="117">
        <v>2</v>
      </c>
      <c r="N82" s="117">
        <v>1</v>
      </c>
      <c r="O82" s="117"/>
      <c r="P82" s="118">
        <v>1</v>
      </c>
      <c r="Q82" s="117"/>
      <c r="R82" s="117"/>
      <c r="S82" s="118">
        <v>3</v>
      </c>
      <c r="T82" s="117"/>
      <c r="U82" s="117">
        <v>3</v>
      </c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</row>
    <row r="83" spans="3:35" ht="18.75">
      <c r="C83" s="226"/>
      <c r="D83" s="215">
        <v>15</v>
      </c>
      <c r="E83" s="189" t="str">
        <f t="shared" si="0"/>
        <v>Кравченко Кристина</v>
      </c>
      <c r="F83" s="117">
        <v>5</v>
      </c>
      <c r="G83" s="118">
        <v>5</v>
      </c>
      <c r="H83" s="117">
        <v>5</v>
      </c>
      <c r="I83" s="117">
        <v>5</v>
      </c>
      <c r="J83" s="117"/>
      <c r="K83" s="117">
        <v>5</v>
      </c>
      <c r="L83" s="117"/>
      <c r="M83" s="117"/>
      <c r="N83" s="117">
        <v>5</v>
      </c>
      <c r="O83" s="117">
        <v>5</v>
      </c>
      <c r="P83" s="118">
        <v>5</v>
      </c>
      <c r="Q83" s="117"/>
      <c r="R83" s="117"/>
      <c r="S83" s="118">
        <v>5</v>
      </c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</row>
    <row r="84" spans="3:35" ht="18.75">
      <c r="C84" s="226"/>
      <c r="D84" s="215">
        <v>16</v>
      </c>
      <c r="E84" s="189" t="str">
        <f t="shared" si="0"/>
        <v>Кротков Александр</v>
      </c>
      <c r="F84" s="117"/>
      <c r="G84" s="118">
        <v>3</v>
      </c>
      <c r="H84" s="117"/>
      <c r="I84" s="117">
        <v>3</v>
      </c>
      <c r="J84" s="117"/>
      <c r="K84" s="117">
        <v>3</v>
      </c>
      <c r="L84" s="117" t="s">
        <v>7</v>
      </c>
      <c r="M84" s="117" t="s">
        <v>7</v>
      </c>
      <c r="N84" s="117">
        <v>3</v>
      </c>
      <c r="O84" s="117"/>
      <c r="P84" s="118">
        <v>3</v>
      </c>
      <c r="Q84" s="117">
        <v>2</v>
      </c>
      <c r="R84" s="117"/>
      <c r="S84" s="118">
        <v>3</v>
      </c>
      <c r="T84" s="117">
        <v>3</v>
      </c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</row>
    <row r="85" spans="3:35" ht="18.75">
      <c r="C85" s="226"/>
      <c r="D85" s="215">
        <v>17</v>
      </c>
      <c r="E85" s="189" t="str">
        <f t="shared" si="0"/>
        <v>Кузнецова Екатерина</v>
      </c>
      <c r="F85" s="117"/>
      <c r="G85" s="118">
        <v>4</v>
      </c>
      <c r="H85" s="117">
        <v>5</v>
      </c>
      <c r="I85" s="117"/>
      <c r="J85" s="117">
        <v>4</v>
      </c>
      <c r="K85" s="117"/>
      <c r="L85" s="117">
        <v>4</v>
      </c>
      <c r="M85" s="117"/>
      <c r="N85" s="117">
        <v>3</v>
      </c>
      <c r="O85" s="117"/>
      <c r="P85" s="118">
        <v>4</v>
      </c>
      <c r="Q85" s="117"/>
      <c r="R85" s="117">
        <v>4</v>
      </c>
      <c r="S85" s="118">
        <v>4</v>
      </c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</row>
    <row r="86" spans="3:35" ht="18.75">
      <c r="C86" s="226"/>
      <c r="D86" s="215">
        <v>18</v>
      </c>
      <c r="E86" s="189" t="str">
        <f t="shared" si="0"/>
        <v>Курило Павел</v>
      </c>
      <c r="F86" s="117"/>
      <c r="G86" s="118">
        <v>2</v>
      </c>
      <c r="H86" s="117"/>
      <c r="I86" s="117">
        <v>2</v>
      </c>
      <c r="J86" s="117" t="s">
        <v>6</v>
      </c>
      <c r="K86" s="117" t="s">
        <v>5</v>
      </c>
      <c r="L86" s="117" t="s">
        <v>5</v>
      </c>
      <c r="M86" s="117"/>
      <c r="N86" s="117">
        <v>3</v>
      </c>
      <c r="O86" s="117"/>
      <c r="P86" s="118">
        <v>2</v>
      </c>
      <c r="Q86" s="117">
        <v>3</v>
      </c>
      <c r="R86" s="117"/>
      <c r="S86" s="118">
        <v>3</v>
      </c>
      <c r="T86" s="117">
        <v>3</v>
      </c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</row>
    <row r="87" spans="3:35" ht="18.75">
      <c r="C87" s="226"/>
      <c r="D87" s="215">
        <v>19</v>
      </c>
      <c r="E87" s="189" t="str">
        <f t="shared" si="0"/>
        <v>Максимкина Татьяна</v>
      </c>
      <c r="F87" s="117"/>
      <c r="G87" s="118">
        <v>2</v>
      </c>
      <c r="H87" s="117">
        <v>2</v>
      </c>
      <c r="I87" s="117"/>
      <c r="J87" s="117">
        <v>2</v>
      </c>
      <c r="K87" s="117"/>
      <c r="L87" s="117">
        <v>2</v>
      </c>
      <c r="M87" s="117"/>
      <c r="N87" s="117">
        <v>2</v>
      </c>
      <c r="O87" s="117" t="s">
        <v>5</v>
      </c>
      <c r="P87" s="118" t="s">
        <v>5</v>
      </c>
      <c r="Q87" s="117" t="s">
        <v>5</v>
      </c>
      <c r="R87" s="117"/>
      <c r="S87" s="118">
        <v>3</v>
      </c>
      <c r="T87" s="117"/>
      <c r="U87" s="117">
        <v>3</v>
      </c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</row>
    <row r="88" spans="3:35" ht="18.75">
      <c r="C88" s="226"/>
      <c r="D88" s="215">
        <v>20</v>
      </c>
      <c r="E88" s="189" t="str">
        <f t="shared" si="0"/>
        <v>Малахова Ксения</v>
      </c>
      <c r="F88" s="117">
        <v>3</v>
      </c>
      <c r="G88" s="118">
        <v>4</v>
      </c>
      <c r="H88" s="117">
        <v>2</v>
      </c>
      <c r="I88" s="117"/>
      <c r="J88" s="117">
        <v>2</v>
      </c>
      <c r="K88" s="117"/>
      <c r="L88" s="117">
        <v>3</v>
      </c>
      <c r="M88" s="117"/>
      <c r="N88" s="117">
        <v>3</v>
      </c>
      <c r="O88" s="117">
        <v>3</v>
      </c>
      <c r="P88" s="118" t="s">
        <v>5</v>
      </c>
      <c r="Q88" s="117" t="s">
        <v>6</v>
      </c>
      <c r="R88" s="117"/>
      <c r="S88" s="118">
        <v>3</v>
      </c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</row>
    <row r="89" spans="3:35" ht="18.75">
      <c r="C89" s="226"/>
      <c r="D89" s="215">
        <v>21</v>
      </c>
      <c r="E89" s="189" t="str">
        <f t="shared" si="0"/>
        <v>Марсуверских Михаил</v>
      </c>
      <c r="F89" s="117"/>
      <c r="G89" s="118">
        <v>3</v>
      </c>
      <c r="H89" s="117"/>
      <c r="I89" s="117">
        <v>2</v>
      </c>
      <c r="J89" s="117"/>
      <c r="K89" s="117">
        <v>3</v>
      </c>
      <c r="L89" s="117"/>
      <c r="M89" s="117">
        <v>3</v>
      </c>
      <c r="N89" s="117">
        <v>1</v>
      </c>
      <c r="O89" s="117">
        <v>3</v>
      </c>
      <c r="P89" s="118">
        <v>2</v>
      </c>
      <c r="Q89" s="117"/>
      <c r="R89" s="117">
        <v>3</v>
      </c>
      <c r="S89" s="118">
        <v>3</v>
      </c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</row>
    <row r="90" spans="3:35" ht="18.75">
      <c r="C90" s="226"/>
      <c r="D90" s="215">
        <v>22</v>
      </c>
      <c r="E90" s="189" t="str">
        <f t="shared" si="0"/>
        <v>Никифоров Алексей</v>
      </c>
      <c r="F90" s="117"/>
      <c r="G90" s="118">
        <v>2</v>
      </c>
      <c r="H90" s="117"/>
      <c r="I90" s="117">
        <v>4</v>
      </c>
      <c r="J90" s="117"/>
      <c r="K90" s="117">
        <v>4</v>
      </c>
      <c r="L90" s="117">
        <v>5</v>
      </c>
      <c r="M90" s="117"/>
      <c r="N90" s="117">
        <v>3</v>
      </c>
      <c r="O90" s="117" t="s">
        <v>7</v>
      </c>
      <c r="P90" s="118" t="s">
        <v>7</v>
      </c>
      <c r="Q90" s="117" t="s">
        <v>7</v>
      </c>
      <c r="R90" s="117"/>
      <c r="S90" s="118">
        <v>4</v>
      </c>
      <c r="T90" s="117">
        <v>4</v>
      </c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</row>
    <row r="91" spans="3:35" ht="18.75">
      <c r="C91" s="226"/>
      <c r="D91" s="215">
        <v>23</v>
      </c>
      <c r="E91" s="189" t="str">
        <f t="shared" si="0"/>
        <v>Панченко Олеся</v>
      </c>
      <c r="F91" s="117"/>
      <c r="G91" s="118">
        <v>3</v>
      </c>
      <c r="H91" s="117"/>
      <c r="I91" s="117" t="s">
        <v>7</v>
      </c>
      <c r="J91" s="117">
        <v>3</v>
      </c>
      <c r="K91" s="117">
        <v>2</v>
      </c>
      <c r="L91" s="117">
        <v>3</v>
      </c>
      <c r="M91" s="117"/>
      <c r="N91" s="117">
        <v>2</v>
      </c>
      <c r="O91" s="117" t="s">
        <v>6</v>
      </c>
      <c r="P91" s="118">
        <v>1</v>
      </c>
      <c r="Q91" s="117" t="s">
        <v>5</v>
      </c>
      <c r="R91" s="117"/>
      <c r="S91" s="118">
        <v>3</v>
      </c>
      <c r="T91" s="117"/>
      <c r="U91" s="117">
        <v>3</v>
      </c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</row>
    <row r="92" spans="3:35" ht="18.75">
      <c r="C92" s="226"/>
      <c r="D92" s="215">
        <v>24</v>
      </c>
      <c r="E92" s="189" t="str">
        <f t="shared" si="0"/>
        <v>Перцев Владимир</v>
      </c>
      <c r="F92" s="117">
        <v>4</v>
      </c>
      <c r="G92" s="118">
        <v>3</v>
      </c>
      <c r="H92" s="117">
        <v>4</v>
      </c>
      <c r="I92" s="117">
        <v>2</v>
      </c>
      <c r="J92" s="117"/>
      <c r="K92" s="117">
        <v>2</v>
      </c>
      <c r="L92" s="117">
        <v>3</v>
      </c>
      <c r="M92" s="117"/>
      <c r="N92" s="117">
        <v>3</v>
      </c>
      <c r="O92" s="117"/>
      <c r="P92" s="118">
        <v>3</v>
      </c>
      <c r="Q92" s="117"/>
      <c r="R92" s="117"/>
      <c r="S92" s="118">
        <v>3</v>
      </c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</row>
    <row r="93" spans="3:35" ht="18.75">
      <c r="C93" s="226"/>
      <c r="D93" s="215">
        <v>25</v>
      </c>
      <c r="E93" s="189" t="str">
        <f t="shared" si="0"/>
        <v>Плешивцев Виталий</v>
      </c>
      <c r="F93" s="117"/>
      <c r="G93" s="118">
        <v>3</v>
      </c>
      <c r="H93" s="117">
        <v>2</v>
      </c>
      <c r="I93" s="117" t="s">
        <v>6</v>
      </c>
      <c r="J93" s="117" t="s">
        <v>6</v>
      </c>
      <c r="K93" s="117"/>
      <c r="L93" s="117"/>
      <c r="M93" s="117"/>
      <c r="N93" s="117">
        <v>3</v>
      </c>
      <c r="O93" s="117" t="s">
        <v>6</v>
      </c>
      <c r="P93" s="118" t="s">
        <v>6</v>
      </c>
      <c r="Q93" s="117" t="s">
        <v>6</v>
      </c>
      <c r="R93" s="117"/>
      <c r="S93" s="118">
        <v>3</v>
      </c>
      <c r="T93" s="117">
        <v>3</v>
      </c>
      <c r="U93" s="117">
        <v>3</v>
      </c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</row>
    <row r="94" spans="3:35" ht="18.75">
      <c r="C94" s="226"/>
      <c r="D94" s="215">
        <v>26</v>
      </c>
      <c r="E94" s="189" t="str">
        <f t="shared" si="0"/>
        <v>Савинов Александр</v>
      </c>
      <c r="F94" s="117">
        <v>3</v>
      </c>
      <c r="G94" s="118">
        <v>4</v>
      </c>
      <c r="H94" s="117">
        <v>3</v>
      </c>
      <c r="I94" s="117"/>
      <c r="J94" s="117">
        <v>5</v>
      </c>
      <c r="K94" s="117">
        <v>3</v>
      </c>
      <c r="L94" s="117">
        <v>3</v>
      </c>
      <c r="M94" s="117"/>
      <c r="N94" s="117">
        <v>2</v>
      </c>
      <c r="O94" s="117"/>
      <c r="P94" s="118">
        <v>3</v>
      </c>
      <c r="Q94" s="117"/>
      <c r="R94" s="117">
        <v>3</v>
      </c>
      <c r="S94" s="118">
        <v>4</v>
      </c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</row>
    <row r="95" spans="3:35" ht="18.75">
      <c r="C95" s="226"/>
      <c r="D95" s="215">
        <v>27</v>
      </c>
      <c r="E95" s="189" t="str">
        <f t="shared" si="0"/>
        <v>Фадеева Виктория</v>
      </c>
      <c r="F95" s="117"/>
      <c r="G95" s="118">
        <v>2</v>
      </c>
      <c r="H95" s="117">
        <v>3</v>
      </c>
      <c r="I95" s="117"/>
      <c r="J95" s="117">
        <v>2</v>
      </c>
      <c r="K95" s="117"/>
      <c r="L95" s="117">
        <v>2</v>
      </c>
      <c r="M95" s="117"/>
      <c r="N95" s="117">
        <v>3</v>
      </c>
      <c r="O95" s="117"/>
      <c r="P95" s="118">
        <v>4</v>
      </c>
      <c r="Q95" s="117"/>
      <c r="R95" s="117"/>
      <c r="S95" s="118">
        <v>3</v>
      </c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</row>
    <row r="96" spans="3:35" ht="18.75">
      <c r="C96" s="226"/>
      <c r="D96" s="215">
        <v>28</v>
      </c>
      <c r="E96" s="189" t="str">
        <f t="shared" si="0"/>
        <v>Шестопалова Алёна</v>
      </c>
      <c r="F96" s="117"/>
      <c r="G96" s="118">
        <v>3</v>
      </c>
      <c r="H96" s="117"/>
      <c r="I96" s="117">
        <v>3</v>
      </c>
      <c r="J96" s="117"/>
      <c r="K96" s="117"/>
      <c r="L96" s="117">
        <v>3</v>
      </c>
      <c r="M96" s="117"/>
      <c r="N96" s="117">
        <v>3</v>
      </c>
      <c r="O96" s="117">
        <v>3</v>
      </c>
      <c r="P96" s="118">
        <v>2</v>
      </c>
      <c r="Q96" s="117">
        <v>2</v>
      </c>
      <c r="R96" s="117"/>
      <c r="S96" s="118">
        <v>3</v>
      </c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</row>
    <row r="97" spans="3:35" ht="18.75">
      <c r="C97" s="226" t="s">
        <v>257</v>
      </c>
      <c r="D97" s="215">
        <v>29</v>
      </c>
      <c r="E97" s="189" t="str">
        <f t="shared" si="0"/>
        <v>Егоров Иван</v>
      </c>
      <c r="F97" s="117"/>
      <c r="G97" s="118"/>
      <c r="H97" s="117">
        <v>5</v>
      </c>
      <c r="I97" s="117"/>
      <c r="J97" s="117">
        <v>5</v>
      </c>
      <c r="K97" s="117">
        <v>5</v>
      </c>
      <c r="L97" s="117">
        <v>2</v>
      </c>
      <c r="M97" s="117">
        <v>3</v>
      </c>
      <c r="N97" s="117">
        <v>4</v>
      </c>
      <c r="O97" s="117"/>
      <c r="P97" s="118"/>
      <c r="Q97" s="117"/>
      <c r="R97" s="117"/>
      <c r="S97" s="118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</row>
    <row r="98" spans="3:35" ht="18.75">
      <c r="C98" s="226" t="s">
        <v>257</v>
      </c>
      <c r="D98" s="215">
        <v>30</v>
      </c>
      <c r="E98" s="189" t="s">
        <v>234</v>
      </c>
      <c r="F98" s="117">
        <v>3</v>
      </c>
      <c r="G98" s="118">
        <v>3</v>
      </c>
      <c r="H98" s="117"/>
      <c r="I98" s="117">
        <v>3</v>
      </c>
      <c r="J98" s="117"/>
      <c r="K98" s="117"/>
      <c r="L98" s="117"/>
      <c r="M98" s="117">
        <v>3</v>
      </c>
      <c r="N98" s="117"/>
      <c r="O98" s="117">
        <v>3</v>
      </c>
      <c r="P98" s="118"/>
      <c r="Q98" s="117"/>
      <c r="R98" s="117">
        <v>3</v>
      </c>
      <c r="S98" s="118"/>
      <c r="T98" s="117"/>
      <c r="U98" s="117">
        <v>3</v>
      </c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</row>
    <row r="99" spans="3:35" ht="18.75">
      <c r="C99" s="226"/>
      <c r="D99" s="215">
        <v>31</v>
      </c>
      <c r="E99" s="189">
        <f t="shared" si="0"/>
      </c>
      <c r="F99" s="117"/>
      <c r="G99" s="118"/>
      <c r="H99" s="117"/>
      <c r="I99" s="117"/>
      <c r="J99" s="117"/>
      <c r="K99" s="117"/>
      <c r="L99" s="117"/>
      <c r="M99" s="117"/>
      <c r="N99" s="117"/>
      <c r="O99" s="117"/>
      <c r="P99" s="118"/>
      <c r="Q99" s="117"/>
      <c r="R99" s="117"/>
      <c r="S99" s="118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</row>
    <row r="100" spans="3:35" ht="18.75">
      <c r="C100" s="226"/>
      <c r="D100" s="215">
        <v>32</v>
      </c>
      <c r="E100" s="189">
        <f t="shared" si="0"/>
      </c>
      <c r="F100" s="117"/>
      <c r="G100" s="118"/>
      <c r="H100" s="117"/>
      <c r="I100" s="117"/>
      <c r="J100" s="117"/>
      <c r="K100" s="117"/>
      <c r="L100" s="117"/>
      <c r="M100" s="117"/>
      <c r="N100" s="117"/>
      <c r="O100" s="117"/>
      <c r="P100" s="118"/>
      <c r="Q100" s="117"/>
      <c r="R100" s="117"/>
      <c r="S100" s="118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</row>
    <row r="101" spans="3:35" ht="18.75" customHeight="1">
      <c r="C101" s="226"/>
      <c r="D101" s="215">
        <v>33</v>
      </c>
      <c r="E101" s="189">
        <f t="shared" si="0"/>
      </c>
      <c r="F101" s="117"/>
      <c r="G101" s="118"/>
      <c r="H101" s="117"/>
      <c r="I101" s="117"/>
      <c r="J101" s="117"/>
      <c r="K101" s="117"/>
      <c r="L101" s="117"/>
      <c r="M101" s="117"/>
      <c r="N101" s="117"/>
      <c r="O101" s="117"/>
      <c r="P101" s="118"/>
      <c r="Q101" s="117"/>
      <c r="R101" s="117"/>
      <c r="S101" s="118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</row>
    <row r="102" spans="3:35" ht="18.75">
      <c r="C102" s="226"/>
      <c r="D102" s="215">
        <v>34</v>
      </c>
      <c r="E102" s="189">
        <f t="shared" si="0"/>
      </c>
      <c r="F102" s="117"/>
      <c r="G102" s="118"/>
      <c r="H102" s="117"/>
      <c r="I102" s="117"/>
      <c r="J102" s="117"/>
      <c r="K102" s="117"/>
      <c r="L102" s="117"/>
      <c r="M102" s="117"/>
      <c r="N102" s="117"/>
      <c r="O102" s="117"/>
      <c r="P102" s="118"/>
      <c r="Q102" s="117"/>
      <c r="R102" s="117"/>
      <c r="S102" s="118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</row>
    <row r="103" spans="3:35" ht="19.5" thickBot="1">
      <c r="C103" s="226"/>
      <c r="D103" s="215">
        <v>35</v>
      </c>
      <c r="E103" s="268">
        <f t="shared" si="0"/>
      </c>
      <c r="F103" s="269"/>
      <c r="G103" s="270"/>
      <c r="H103" s="269"/>
      <c r="I103" s="269"/>
      <c r="J103" s="269"/>
      <c r="K103" s="269"/>
      <c r="L103" s="269"/>
      <c r="M103" s="269"/>
      <c r="N103" s="269"/>
      <c r="O103" s="269"/>
      <c r="P103" s="270"/>
      <c r="Q103" s="269"/>
      <c r="R103" s="269"/>
      <c r="S103" s="270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</row>
    <row r="104" spans="3:35" ht="108" thickBot="1" thickTop="1">
      <c r="C104" s="229"/>
      <c r="D104" s="234">
        <f>COUNTA(E69:E103)-COUNTBLANK(E69:E103)-COUNTIF(C69:C103,"-")</f>
        <v>28</v>
      </c>
      <c r="E104" s="271" t="s">
        <v>69</v>
      </c>
      <c r="F104" s="272" t="s">
        <v>108</v>
      </c>
      <c r="G104" s="275" t="s">
        <v>105</v>
      </c>
      <c r="H104" s="275" t="s">
        <v>106</v>
      </c>
      <c r="I104" s="272" t="s">
        <v>109</v>
      </c>
      <c r="J104" s="272" t="s">
        <v>110</v>
      </c>
      <c r="K104" s="275" t="s">
        <v>107</v>
      </c>
      <c r="L104" s="272" t="s">
        <v>111</v>
      </c>
      <c r="M104" s="272" t="s">
        <v>112</v>
      </c>
      <c r="N104" s="272" t="s">
        <v>113</v>
      </c>
      <c r="O104" s="272" t="s">
        <v>114</v>
      </c>
      <c r="P104" s="274"/>
      <c r="Q104" s="272" t="s">
        <v>116</v>
      </c>
      <c r="R104" s="272" t="s">
        <v>117</v>
      </c>
      <c r="S104" s="272" t="s">
        <v>118</v>
      </c>
      <c r="T104" s="272" t="s">
        <v>115</v>
      </c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275"/>
      <c r="AH104" s="275"/>
      <c r="AI104" s="275"/>
    </row>
    <row r="105" ht="18.75" customHeight="1" thickTop="1"/>
    <row r="106" ht="18.75" customHeight="1" thickBot="1"/>
    <row r="107" ht="18.75" customHeight="1" hidden="1" thickBot="1"/>
    <row r="108" ht="12.75" hidden="1"/>
    <row r="109" ht="100.5" customHeight="1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3.5" hidden="1" thickBot="1">
      <c r="B122" s="7"/>
    </row>
    <row r="123" spans="3:58" ht="19.5" thickBot="1" thickTop="1">
      <c r="C123" s="235"/>
      <c r="D123" s="47">
        <v>10</v>
      </c>
      <c r="E123" s="261" t="s">
        <v>202</v>
      </c>
      <c r="F123" s="267"/>
      <c r="G123" s="306" t="s">
        <v>203</v>
      </c>
      <c r="H123" s="312"/>
      <c r="I123" s="313" t="s">
        <v>204</v>
      </c>
      <c r="J123" s="314"/>
      <c r="K123" s="314"/>
      <c r="L123" s="315"/>
      <c r="M123" s="266"/>
      <c r="N123" s="266"/>
      <c r="O123" s="266"/>
      <c r="P123" s="266"/>
      <c r="Q123" s="266"/>
      <c r="R123" s="266"/>
      <c r="S123" s="266"/>
      <c r="T123" s="266"/>
      <c r="U123" s="266"/>
      <c r="V123" s="266"/>
      <c r="W123" s="266"/>
      <c r="X123" s="266"/>
      <c r="Y123" s="266"/>
      <c r="Z123" s="266"/>
      <c r="AA123" s="266"/>
      <c r="AB123" s="266"/>
      <c r="AC123" s="266"/>
      <c r="AD123" s="266"/>
      <c r="AE123" s="266"/>
      <c r="AF123" s="266"/>
      <c r="AG123" s="266"/>
      <c r="AH123" s="266"/>
      <c r="AI123" s="266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</row>
    <row r="124" spans="3:35" ht="18.75" customHeight="1" thickBot="1" thickTop="1">
      <c r="C124" s="228"/>
      <c r="D124" s="47">
        <v>2</v>
      </c>
      <c r="E124" s="62">
        <f ca="1">NOW()</f>
        <v>39252.589404398146</v>
      </c>
      <c r="F124" s="216"/>
      <c r="G124" s="320" t="s">
        <v>82</v>
      </c>
      <c r="H124" s="318"/>
      <c r="I124" s="318"/>
      <c r="J124" s="318"/>
      <c r="K124" s="318"/>
      <c r="L124" s="318"/>
      <c r="M124" s="318"/>
      <c r="N124" s="318"/>
      <c r="O124" s="318"/>
      <c r="P124" s="318"/>
      <c r="Q124" s="318"/>
      <c r="R124" s="318"/>
      <c r="S124" s="318"/>
      <c r="T124" s="321"/>
      <c r="U124" s="8"/>
      <c r="V124" s="8"/>
      <c r="W124" s="8"/>
      <c r="X124" s="8"/>
      <c r="Y124" s="8"/>
      <c r="Z124" s="8"/>
      <c r="AA124" s="122"/>
      <c r="AB124" s="122"/>
      <c r="AC124" s="122"/>
      <c r="AD124" s="8"/>
      <c r="AE124" s="8"/>
      <c r="AF124" s="8"/>
      <c r="AG124" s="8"/>
      <c r="AH124" s="8"/>
      <c r="AI124" s="8"/>
    </row>
    <row r="125" spans="3:35" ht="176.25" customHeight="1" thickTop="1">
      <c r="C125" s="310" t="s">
        <v>256</v>
      </c>
      <c r="D125" s="197" t="s">
        <v>190</v>
      </c>
      <c r="E125" s="198" t="s">
        <v>211</v>
      </c>
      <c r="F125" s="121" t="s">
        <v>147</v>
      </c>
      <c r="G125" s="121" t="s">
        <v>119</v>
      </c>
      <c r="H125" s="121" t="s">
        <v>120</v>
      </c>
      <c r="I125" s="121" t="s">
        <v>121</v>
      </c>
      <c r="J125" s="121" t="s">
        <v>122</v>
      </c>
      <c r="K125" s="121" t="s">
        <v>123</v>
      </c>
      <c r="L125" s="121" t="s">
        <v>124</v>
      </c>
      <c r="M125" s="123" t="s">
        <v>180</v>
      </c>
      <c r="N125" s="121" t="s">
        <v>125</v>
      </c>
      <c r="O125" s="121" t="s">
        <v>126</v>
      </c>
      <c r="P125" s="121" t="s">
        <v>127</v>
      </c>
      <c r="Q125" s="121" t="s">
        <v>128</v>
      </c>
      <c r="R125" s="121" t="s">
        <v>129</v>
      </c>
      <c r="S125" s="121" t="s">
        <v>130</v>
      </c>
      <c r="T125" s="123" t="s">
        <v>179</v>
      </c>
      <c r="U125" s="121" t="s">
        <v>131</v>
      </c>
      <c r="V125" s="121" t="s">
        <v>132</v>
      </c>
      <c r="W125" s="121" t="s">
        <v>133</v>
      </c>
      <c r="X125" s="121" t="s">
        <v>134</v>
      </c>
      <c r="Y125" s="123" t="s">
        <v>181</v>
      </c>
      <c r="AA125" s="8"/>
      <c r="AB125" s="121"/>
      <c r="AC125" s="121"/>
      <c r="AD125" s="121"/>
      <c r="AE125" s="121"/>
      <c r="AF125" s="121"/>
      <c r="AG125" s="121"/>
      <c r="AH125" s="121"/>
      <c r="AI125" s="121"/>
    </row>
    <row r="126" spans="3:35" ht="18">
      <c r="C126" s="311"/>
      <c r="D126" s="8"/>
      <c r="E126" s="111" t="s">
        <v>0</v>
      </c>
      <c r="F126" s="200">
        <v>1</v>
      </c>
      <c r="G126" s="200">
        <v>2</v>
      </c>
      <c r="H126" s="200">
        <v>3</v>
      </c>
      <c r="I126" s="200">
        <v>4</v>
      </c>
      <c r="J126" s="200">
        <v>5</v>
      </c>
      <c r="K126" s="200">
        <v>6</v>
      </c>
      <c r="L126" s="200">
        <v>7</v>
      </c>
      <c r="M126" s="200">
        <v>8</v>
      </c>
      <c r="N126" s="200">
        <v>9</v>
      </c>
      <c r="O126" s="200">
        <v>10</v>
      </c>
      <c r="P126" s="200">
        <v>11</v>
      </c>
      <c r="Q126" s="200">
        <v>12</v>
      </c>
      <c r="R126" s="200">
        <v>13</v>
      </c>
      <c r="S126" s="200">
        <v>14</v>
      </c>
      <c r="T126" s="200">
        <v>15</v>
      </c>
      <c r="U126" s="200">
        <v>16</v>
      </c>
      <c r="V126" s="200">
        <v>17</v>
      </c>
      <c r="W126" s="200">
        <v>18</v>
      </c>
      <c r="X126" s="200">
        <v>19</v>
      </c>
      <c r="Y126" s="200">
        <v>20</v>
      </c>
      <c r="Z126" s="200">
        <v>21</v>
      </c>
      <c r="AA126" s="200">
        <v>22</v>
      </c>
      <c r="AB126" s="200">
        <v>23</v>
      </c>
      <c r="AC126" s="200">
        <v>24</v>
      </c>
      <c r="AD126" s="200">
        <v>25</v>
      </c>
      <c r="AE126" s="200">
        <v>26</v>
      </c>
      <c r="AF126" s="200">
        <v>27</v>
      </c>
      <c r="AG126" s="200">
        <v>28</v>
      </c>
      <c r="AH126" s="200">
        <v>29</v>
      </c>
      <c r="AI126" s="200">
        <v>30</v>
      </c>
    </row>
    <row r="127" spans="3:35" ht="25.5">
      <c r="C127" s="311"/>
      <c r="D127" s="212" t="s">
        <v>1</v>
      </c>
      <c r="E127" s="220" t="str">
        <f>"Учащихся   "&amp;D164</f>
        <v>Учащихся   28</v>
      </c>
      <c r="F127" s="117" t="s">
        <v>3</v>
      </c>
      <c r="G127" s="117" t="s">
        <v>3</v>
      </c>
      <c r="H127" s="117" t="s">
        <v>3</v>
      </c>
      <c r="I127" s="117" t="s">
        <v>3</v>
      </c>
      <c r="J127" s="117" t="s">
        <v>3</v>
      </c>
      <c r="K127" s="117" t="s">
        <v>3</v>
      </c>
      <c r="L127" s="117" t="s">
        <v>3</v>
      </c>
      <c r="M127" s="117" t="s">
        <v>3</v>
      </c>
      <c r="N127" s="117" t="s">
        <v>3</v>
      </c>
      <c r="O127" s="117" t="s">
        <v>3</v>
      </c>
      <c r="P127" s="117" t="s">
        <v>3</v>
      </c>
      <c r="Q127" s="117" t="s">
        <v>3</v>
      </c>
      <c r="R127" s="117" t="s">
        <v>3</v>
      </c>
      <c r="S127" s="117" t="s">
        <v>3</v>
      </c>
      <c r="T127" s="117" t="s">
        <v>3</v>
      </c>
      <c r="U127" s="117" t="s">
        <v>3</v>
      </c>
      <c r="V127" s="117" t="s">
        <v>3</v>
      </c>
      <c r="W127" s="117" t="s">
        <v>3</v>
      </c>
      <c r="X127" s="117" t="s">
        <v>3</v>
      </c>
      <c r="Y127" s="117" t="s">
        <v>3</v>
      </c>
      <c r="Z127" s="117" t="s">
        <v>3</v>
      </c>
      <c r="AA127" s="117" t="s">
        <v>3</v>
      </c>
      <c r="AB127" s="117" t="s">
        <v>3</v>
      </c>
      <c r="AC127" s="117" t="s">
        <v>3</v>
      </c>
      <c r="AD127" s="117" t="s">
        <v>3</v>
      </c>
      <c r="AE127" s="117" t="s">
        <v>3</v>
      </c>
      <c r="AF127" s="117" t="s">
        <v>3</v>
      </c>
      <c r="AG127" s="117" t="s">
        <v>3</v>
      </c>
      <c r="AH127" s="117" t="s">
        <v>3</v>
      </c>
      <c r="AI127" s="117" t="s">
        <v>3</v>
      </c>
    </row>
    <row r="128" spans="3:35" ht="18">
      <c r="C128" s="311"/>
      <c r="D128" s="204"/>
      <c r="E128" s="213" t="s">
        <v>2</v>
      </c>
      <c r="F128" s="116">
        <v>39095</v>
      </c>
      <c r="G128" s="116">
        <v>39098</v>
      </c>
      <c r="H128" s="116">
        <v>39102</v>
      </c>
      <c r="I128" s="116">
        <v>39105</v>
      </c>
      <c r="J128" s="116">
        <v>39109</v>
      </c>
      <c r="K128" s="116">
        <v>39112</v>
      </c>
      <c r="L128" s="116">
        <v>39116</v>
      </c>
      <c r="M128" s="116">
        <v>39119</v>
      </c>
      <c r="N128" s="116">
        <v>39123</v>
      </c>
      <c r="O128" s="116">
        <v>39126</v>
      </c>
      <c r="P128" s="116">
        <v>39130</v>
      </c>
      <c r="Q128" s="116">
        <v>39133</v>
      </c>
      <c r="R128" s="116">
        <v>39137</v>
      </c>
      <c r="S128" s="116">
        <v>39140</v>
      </c>
      <c r="T128" s="116">
        <v>39144</v>
      </c>
      <c r="U128" s="116">
        <v>39147</v>
      </c>
      <c r="V128" s="116">
        <v>39151</v>
      </c>
      <c r="W128" s="116">
        <v>39154</v>
      </c>
      <c r="X128" s="116">
        <v>39158</v>
      </c>
      <c r="Y128" s="116">
        <v>39161</v>
      </c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</row>
    <row r="129" spans="3:35" ht="18.75">
      <c r="C129" s="226"/>
      <c r="D129" s="215">
        <v>1</v>
      </c>
      <c r="E129" s="189" t="str">
        <f>IF(E69="","",E69)</f>
        <v>Алексеева Настя</v>
      </c>
      <c r="F129" s="117">
        <v>3</v>
      </c>
      <c r="G129" s="117"/>
      <c r="H129" s="117">
        <v>4</v>
      </c>
      <c r="I129" s="117"/>
      <c r="J129" s="117">
        <v>5</v>
      </c>
      <c r="K129" s="117"/>
      <c r="L129" s="117">
        <v>3</v>
      </c>
      <c r="M129" s="118">
        <v>4</v>
      </c>
      <c r="N129" s="117">
        <v>2</v>
      </c>
      <c r="O129" s="117"/>
      <c r="P129" s="117">
        <v>1</v>
      </c>
      <c r="Q129" s="117" t="s">
        <v>5</v>
      </c>
      <c r="R129" s="117">
        <v>3</v>
      </c>
      <c r="S129" s="117">
        <v>3</v>
      </c>
      <c r="T129" s="118">
        <v>4</v>
      </c>
      <c r="U129" s="117"/>
      <c r="V129" s="117"/>
      <c r="W129" s="117"/>
      <c r="X129" s="117">
        <v>4</v>
      </c>
      <c r="Y129" s="118">
        <v>4</v>
      </c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</row>
    <row r="130" spans="3:35" ht="18.75">
      <c r="C130" s="226"/>
      <c r="D130" s="215">
        <v>2</v>
      </c>
      <c r="E130" s="189" t="str">
        <f aca="true" t="shared" si="1" ref="E130:E163">IF(E70="","",E70)</f>
        <v>Богоутдинов Данил</v>
      </c>
      <c r="F130" s="117"/>
      <c r="G130" s="117">
        <v>3</v>
      </c>
      <c r="H130" s="117">
        <v>4</v>
      </c>
      <c r="I130" s="117" t="s">
        <v>5</v>
      </c>
      <c r="J130" s="117">
        <v>2</v>
      </c>
      <c r="K130" s="117" t="s">
        <v>6</v>
      </c>
      <c r="L130" s="117">
        <v>3</v>
      </c>
      <c r="M130" s="118">
        <v>4</v>
      </c>
      <c r="N130" s="117" t="s">
        <v>7</v>
      </c>
      <c r="O130" s="117">
        <v>4</v>
      </c>
      <c r="P130" s="117">
        <v>4</v>
      </c>
      <c r="Q130" s="117" t="s">
        <v>5</v>
      </c>
      <c r="R130" s="117"/>
      <c r="S130" s="117">
        <v>4</v>
      </c>
      <c r="T130" s="118">
        <v>3</v>
      </c>
      <c r="U130" s="117"/>
      <c r="V130" s="117">
        <v>4</v>
      </c>
      <c r="W130" s="117"/>
      <c r="X130" s="117">
        <v>3</v>
      </c>
      <c r="Y130" s="118">
        <v>4</v>
      </c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</row>
    <row r="131" spans="3:35" ht="18.75">
      <c r="C131" s="226"/>
      <c r="D131" s="215">
        <v>3</v>
      </c>
      <c r="E131" s="189" t="str">
        <f t="shared" si="1"/>
        <v>Бавеян Рафик</v>
      </c>
      <c r="F131" s="117">
        <v>3</v>
      </c>
      <c r="G131" s="117"/>
      <c r="H131" s="117"/>
      <c r="I131" s="117">
        <v>4</v>
      </c>
      <c r="J131" s="117">
        <v>2</v>
      </c>
      <c r="K131" s="117">
        <v>3</v>
      </c>
      <c r="L131" s="117" t="s">
        <v>6</v>
      </c>
      <c r="M131" s="118" t="s">
        <v>6</v>
      </c>
      <c r="N131" s="117">
        <v>1</v>
      </c>
      <c r="O131" s="117" t="s">
        <v>5</v>
      </c>
      <c r="P131" s="117" t="s">
        <v>5</v>
      </c>
      <c r="Q131" s="117"/>
      <c r="R131" s="117">
        <v>3</v>
      </c>
      <c r="S131" s="117">
        <v>4</v>
      </c>
      <c r="T131" s="118">
        <v>4</v>
      </c>
      <c r="U131" s="117"/>
      <c r="V131" s="117"/>
      <c r="W131" s="117">
        <v>4</v>
      </c>
      <c r="X131" s="117">
        <v>3</v>
      </c>
      <c r="Y131" s="118">
        <v>4</v>
      </c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</row>
    <row r="132" spans="3:35" ht="18.75">
      <c r="C132" s="226"/>
      <c r="D132" s="215">
        <v>4</v>
      </c>
      <c r="E132" s="189" t="str">
        <f t="shared" si="1"/>
        <v>Бахметьев Михаил</v>
      </c>
      <c r="F132" s="117" t="s">
        <v>5</v>
      </c>
      <c r="G132" s="117">
        <v>3</v>
      </c>
      <c r="H132" s="117">
        <v>2</v>
      </c>
      <c r="I132" s="117"/>
      <c r="J132" s="117">
        <v>4</v>
      </c>
      <c r="K132" s="117"/>
      <c r="L132" s="117">
        <v>4</v>
      </c>
      <c r="M132" s="118">
        <v>2</v>
      </c>
      <c r="N132" s="117">
        <v>3</v>
      </c>
      <c r="O132" s="117">
        <v>3</v>
      </c>
      <c r="P132" s="117">
        <v>3</v>
      </c>
      <c r="Q132" s="117"/>
      <c r="R132" s="117">
        <v>4</v>
      </c>
      <c r="S132" s="117">
        <v>5</v>
      </c>
      <c r="T132" s="118">
        <v>4</v>
      </c>
      <c r="U132" s="117">
        <v>3</v>
      </c>
      <c r="V132" s="117"/>
      <c r="W132" s="117"/>
      <c r="X132" s="117">
        <v>4</v>
      </c>
      <c r="Y132" s="118">
        <v>3</v>
      </c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</row>
    <row r="133" spans="3:35" s="217" customFormat="1" ht="18.75">
      <c r="C133" s="226" t="s">
        <v>255</v>
      </c>
      <c r="D133" s="218">
        <v>5</v>
      </c>
      <c r="E133" s="189" t="str">
        <f t="shared" si="1"/>
        <v>Бузгин Иван</v>
      </c>
      <c r="F133" s="120"/>
      <c r="G133" s="120"/>
      <c r="H133" s="120"/>
      <c r="I133" s="120"/>
      <c r="J133" s="120"/>
      <c r="K133" s="120"/>
      <c r="L133" s="120"/>
      <c r="M133" s="118"/>
      <c r="N133" s="120"/>
      <c r="O133" s="120"/>
      <c r="P133" s="120"/>
      <c r="Q133" s="120"/>
      <c r="R133" s="120"/>
      <c r="S133" s="120"/>
      <c r="T133" s="118"/>
      <c r="U133" s="120"/>
      <c r="V133" s="120"/>
      <c r="W133" s="120"/>
      <c r="X133" s="120"/>
      <c r="Y133" s="118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</row>
    <row r="134" spans="3:35" ht="18.75">
      <c r="C134" s="226"/>
      <c r="D134" s="215">
        <v>6</v>
      </c>
      <c r="E134" s="189" t="str">
        <f t="shared" si="1"/>
        <v>Валеев Руслан</v>
      </c>
      <c r="F134" s="117"/>
      <c r="G134" s="117">
        <v>4</v>
      </c>
      <c r="H134" s="117">
        <v>5</v>
      </c>
      <c r="I134" s="117"/>
      <c r="J134" s="117">
        <v>3</v>
      </c>
      <c r="K134" s="117" t="s">
        <v>5</v>
      </c>
      <c r="L134" s="117" t="s">
        <v>5</v>
      </c>
      <c r="M134" s="118" t="s">
        <v>5</v>
      </c>
      <c r="N134" s="117">
        <v>3</v>
      </c>
      <c r="O134" s="117"/>
      <c r="P134" s="117">
        <v>4</v>
      </c>
      <c r="Q134" s="117">
        <v>3</v>
      </c>
      <c r="R134" s="117"/>
      <c r="S134" s="117">
        <v>3</v>
      </c>
      <c r="T134" s="118">
        <v>3</v>
      </c>
      <c r="U134" s="117"/>
      <c r="V134" s="117">
        <v>4</v>
      </c>
      <c r="W134" s="117"/>
      <c r="X134" s="117">
        <v>2</v>
      </c>
      <c r="Y134" s="118">
        <v>3</v>
      </c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</row>
    <row r="135" spans="3:35" ht="18.75">
      <c r="C135" s="226"/>
      <c r="D135" s="215">
        <v>7</v>
      </c>
      <c r="E135" s="189" t="str">
        <f t="shared" si="1"/>
        <v>Власов Владимир</v>
      </c>
      <c r="F135" s="117"/>
      <c r="G135" s="117"/>
      <c r="H135" s="117">
        <v>2</v>
      </c>
      <c r="I135" s="117">
        <v>3</v>
      </c>
      <c r="J135" s="117"/>
      <c r="K135" s="117">
        <v>3</v>
      </c>
      <c r="L135" s="117">
        <v>5</v>
      </c>
      <c r="M135" s="118">
        <v>3</v>
      </c>
      <c r="N135" s="117" t="s">
        <v>5</v>
      </c>
      <c r="O135" s="117"/>
      <c r="P135" s="117">
        <v>1</v>
      </c>
      <c r="Q135" s="117"/>
      <c r="R135" s="117">
        <v>3</v>
      </c>
      <c r="S135" s="117">
        <v>2</v>
      </c>
      <c r="T135" s="118">
        <v>3</v>
      </c>
      <c r="U135" s="117">
        <v>2</v>
      </c>
      <c r="V135" s="117"/>
      <c r="W135" s="117"/>
      <c r="X135" s="117">
        <v>3</v>
      </c>
      <c r="Y135" s="118">
        <v>3</v>
      </c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</row>
    <row r="136" spans="3:35" ht="18.75">
      <c r="C136" s="226"/>
      <c r="D136" s="215">
        <v>8</v>
      </c>
      <c r="E136" s="189" t="str">
        <f t="shared" si="1"/>
        <v>Головина Дарья</v>
      </c>
      <c r="F136" s="117"/>
      <c r="G136" s="117">
        <v>5</v>
      </c>
      <c r="H136" s="117"/>
      <c r="I136" s="117"/>
      <c r="J136" s="117">
        <v>4</v>
      </c>
      <c r="K136" s="117"/>
      <c r="L136" s="117">
        <v>3</v>
      </c>
      <c r="M136" s="118">
        <v>3</v>
      </c>
      <c r="N136" s="117">
        <v>4</v>
      </c>
      <c r="O136" s="117"/>
      <c r="P136" s="117">
        <v>5</v>
      </c>
      <c r="Q136" s="117"/>
      <c r="R136" s="117">
        <v>4</v>
      </c>
      <c r="S136" s="117">
        <v>2</v>
      </c>
      <c r="T136" s="118">
        <v>3</v>
      </c>
      <c r="U136" s="117"/>
      <c r="V136" s="117"/>
      <c r="W136" s="117">
        <v>4</v>
      </c>
      <c r="X136" s="117">
        <v>4</v>
      </c>
      <c r="Y136" s="118">
        <v>4</v>
      </c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</row>
    <row r="137" spans="3:35" ht="18.75">
      <c r="C137" s="226" t="s">
        <v>255</v>
      </c>
      <c r="D137" s="215">
        <v>9</v>
      </c>
      <c r="E137" s="189" t="str">
        <f t="shared" si="1"/>
        <v>Грачёв Михаил</v>
      </c>
      <c r="F137" s="120"/>
      <c r="G137" s="120"/>
      <c r="H137" s="120"/>
      <c r="I137" s="120"/>
      <c r="J137" s="120"/>
      <c r="K137" s="120"/>
      <c r="L137" s="120"/>
      <c r="M137" s="118"/>
      <c r="N137" s="120"/>
      <c r="O137" s="120"/>
      <c r="P137" s="120"/>
      <c r="Q137" s="120"/>
      <c r="R137" s="120"/>
      <c r="S137" s="120"/>
      <c r="T137" s="118"/>
      <c r="U137" s="120"/>
      <c r="V137" s="120"/>
      <c r="W137" s="120"/>
      <c r="X137" s="120"/>
      <c r="Y137" s="118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</row>
    <row r="138" spans="3:35" ht="18.75">
      <c r="C138" s="226"/>
      <c r="D138" s="215">
        <v>10</v>
      </c>
      <c r="E138" s="189" t="str">
        <f t="shared" si="1"/>
        <v>Добрынин Павел</v>
      </c>
      <c r="F138" s="117">
        <v>4</v>
      </c>
      <c r="G138" s="117"/>
      <c r="H138" s="117"/>
      <c r="I138" s="117">
        <v>4</v>
      </c>
      <c r="J138" s="117"/>
      <c r="K138" s="117">
        <v>4</v>
      </c>
      <c r="L138" s="117">
        <v>2</v>
      </c>
      <c r="M138" s="118">
        <v>3</v>
      </c>
      <c r="N138" s="117">
        <v>3</v>
      </c>
      <c r="O138" s="117">
        <v>5</v>
      </c>
      <c r="P138" s="117">
        <v>4</v>
      </c>
      <c r="Q138" s="117"/>
      <c r="R138" s="117"/>
      <c r="S138" s="117">
        <v>3</v>
      </c>
      <c r="T138" s="118">
        <v>3</v>
      </c>
      <c r="U138" s="117"/>
      <c r="V138" s="117"/>
      <c r="W138" s="117"/>
      <c r="X138" s="117">
        <v>3</v>
      </c>
      <c r="Y138" s="118">
        <v>3</v>
      </c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</row>
    <row r="139" spans="3:35" ht="18.75">
      <c r="C139" s="226"/>
      <c r="D139" s="215">
        <v>11</v>
      </c>
      <c r="E139" s="189" t="str">
        <f t="shared" si="1"/>
        <v>Жарков Егор</v>
      </c>
      <c r="F139" s="117"/>
      <c r="G139" s="117">
        <v>3</v>
      </c>
      <c r="H139" s="117"/>
      <c r="I139" s="117">
        <v>4</v>
      </c>
      <c r="J139" s="117"/>
      <c r="K139" s="117">
        <v>4</v>
      </c>
      <c r="L139" s="117" t="s">
        <v>5</v>
      </c>
      <c r="M139" s="118">
        <v>3</v>
      </c>
      <c r="N139" s="117">
        <v>3</v>
      </c>
      <c r="O139" s="117">
        <v>4</v>
      </c>
      <c r="P139" s="117">
        <v>3</v>
      </c>
      <c r="Q139" s="117"/>
      <c r="R139" s="117"/>
      <c r="S139" s="117">
        <v>3</v>
      </c>
      <c r="T139" s="118">
        <v>4</v>
      </c>
      <c r="U139" s="117">
        <v>4</v>
      </c>
      <c r="V139" s="117">
        <v>3</v>
      </c>
      <c r="W139" s="117">
        <v>4</v>
      </c>
      <c r="X139" s="117">
        <v>4</v>
      </c>
      <c r="Y139" s="118">
        <v>4</v>
      </c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</row>
    <row r="140" spans="3:35" ht="18.75">
      <c r="C140" s="226"/>
      <c r="D140" s="215">
        <v>12</v>
      </c>
      <c r="E140" s="189" t="str">
        <f t="shared" si="1"/>
        <v>Заева Владлена</v>
      </c>
      <c r="F140" s="117"/>
      <c r="G140" s="117">
        <v>4</v>
      </c>
      <c r="H140" s="117">
        <v>5</v>
      </c>
      <c r="I140" s="117"/>
      <c r="J140" s="117">
        <v>3</v>
      </c>
      <c r="K140" s="117"/>
      <c r="L140" s="117">
        <v>3</v>
      </c>
      <c r="M140" s="118">
        <v>4</v>
      </c>
      <c r="N140" s="117">
        <v>5</v>
      </c>
      <c r="O140" s="117"/>
      <c r="P140" s="117">
        <v>2</v>
      </c>
      <c r="Q140" s="117"/>
      <c r="R140" s="117">
        <v>4</v>
      </c>
      <c r="S140" s="117">
        <v>3</v>
      </c>
      <c r="T140" s="118">
        <v>4</v>
      </c>
      <c r="U140" s="117"/>
      <c r="V140" s="117">
        <v>4</v>
      </c>
      <c r="W140" s="117"/>
      <c r="X140" s="117">
        <v>2</v>
      </c>
      <c r="Y140" s="118">
        <v>3</v>
      </c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</row>
    <row r="141" spans="3:35" ht="18.75">
      <c r="C141" s="226"/>
      <c r="D141" s="215">
        <v>13</v>
      </c>
      <c r="E141" s="189" t="str">
        <f t="shared" si="1"/>
        <v>Игошева Анастасия</v>
      </c>
      <c r="F141" s="117" t="s">
        <v>5</v>
      </c>
      <c r="G141" s="117"/>
      <c r="H141" s="117" t="s">
        <v>5</v>
      </c>
      <c r="I141" s="117">
        <v>3</v>
      </c>
      <c r="J141" s="117">
        <v>3</v>
      </c>
      <c r="K141" s="117" t="s">
        <v>6</v>
      </c>
      <c r="L141" s="117" t="s">
        <v>6</v>
      </c>
      <c r="M141" s="118" t="s">
        <v>6</v>
      </c>
      <c r="N141" s="117" t="s">
        <v>6</v>
      </c>
      <c r="O141" s="117"/>
      <c r="P141" s="117">
        <v>2</v>
      </c>
      <c r="Q141" s="117">
        <v>4</v>
      </c>
      <c r="R141" s="117"/>
      <c r="S141" s="117">
        <v>3</v>
      </c>
      <c r="T141" s="118">
        <v>4</v>
      </c>
      <c r="U141" s="117">
        <v>3</v>
      </c>
      <c r="V141" s="117">
        <v>5</v>
      </c>
      <c r="W141" s="117"/>
      <c r="X141" s="117">
        <v>3</v>
      </c>
      <c r="Y141" s="118">
        <v>4</v>
      </c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</row>
    <row r="142" spans="3:35" ht="18.75">
      <c r="C142" s="226"/>
      <c r="D142" s="215">
        <v>14</v>
      </c>
      <c r="E142" s="189" t="str">
        <f t="shared" si="1"/>
        <v>Казанцев Андрей</v>
      </c>
      <c r="F142" s="117">
        <v>3</v>
      </c>
      <c r="G142" s="117"/>
      <c r="H142" s="117">
        <v>3</v>
      </c>
      <c r="I142" s="117"/>
      <c r="J142" s="117"/>
      <c r="K142" s="117">
        <v>3</v>
      </c>
      <c r="L142" s="117">
        <v>5</v>
      </c>
      <c r="M142" s="118">
        <v>2</v>
      </c>
      <c r="N142" s="117">
        <v>1</v>
      </c>
      <c r="O142" s="117"/>
      <c r="P142" s="117">
        <v>1</v>
      </c>
      <c r="Q142" s="117"/>
      <c r="R142" s="117">
        <v>4</v>
      </c>
      <c r="S142" s="117">
        <v>3</v>
      </c>
      <c r="T142" s="118">
        <v>3</v>
      </c>
      <c r="U142" s="117"/>
      <c r="V142" s="117"/>
      <c r="W142" s="117">
        <v>5</v>
      </c>
      <c r="X142" s="117">
        <v>1</v>
      </c>
      <c r="Y142" s="118">
        <v>3</v>
      </c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</row>
    <row r="143" spans="3:35" ht="18.75">
      <c r="C143" s="226"/>
      <c r="D143" s="215">
        <v>15</v>
      </c>
      <c r="E143" s="189" t="str">
        <f t="shared" si="1"/>
        <v>Кравченко Кристина</v>
      </c>
      <c r="F143" s="117">
        <v>5</v>
      </c>
      <c r="G143" s="117"/>
      <c r="H143" s="117">
        <v>5</v>
      </c>
      <c r="I143" s="117">
        <v>5</v>
      </c>
      <c r="J143" s="117"/>
      <c r="K143" s="117">
        <v>5</v>
      </c>
      <c r="L143" s="117">
        <v>3</v>
      </c>
      <c r="M143" s="118">
        <v>4</v>
      </c>
      <c r="N143" s="117">
        <v>5</v>
      </c>
      <c r="O143" s="117">
        <v>5</v>
      </c>
      <c r="P143" s="117">
        <v>5</v>
      </c>
      <c r="Q143" s="117"/>
      <c r="R143" s="117"/>
      <c r="S143" s="117">
        <v>4</v>
      </c>
      <c r="T143" s="118">
        <v>5</v>
      </c>
      <c r="U143" s="117">
        <v>5</v>
      </c>
      <c r="V143" s="117"/>
      <c r="W143" s="117"/>
      <c r="X143" s="117" t="s">
        <v>5</v>
      </c>
      <c r="Y143" s="118">
        <v>3</v>
      </c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</row>
    <row r="144" spans="3:35" ht="18.75">
      <c r="C144" s="226"/>
      <c r="D144" s="215">
        <v>16</v>
      </c>
      <c r="E144" s="189" t="str">
        <f t="shared" si="1"/>
        <v>Кротков Александр</v>
      </c>
      <c r="F144" s="117"/>
      <c r="G144" s="117">
        <v>3</v>
      </c>
      <c r="H144" s="117"/>
      <c r="I144" s="117">
        <v>3</v>
      </c>
      <c r="J144" s="117"/>
      <c r="K144" s="117">
        <v>3</v>
      </c>
      <c r="L144" s="117" t="s">
        <v>7</v>
      </c>
      <c r="M144" s="118" t="s">
        <v>7</v>
      </c>
      <c r="N144" s="117">
        <v>3</v>
      </c>
      <c r="O144" s="117"/>
      <c r="P144" s="117">
        <v>3</v>
      </c>
      <c r="Q144" s="117">
        <v>2</v>
      </c>
      <c r="R144" s="117"/>
      <c r="S144" s="117">
        <v>4</v>
      </c>
      <c r="T144" s="118">
        <v>3</v>
      </c>
      <c r="U144" s="117"/>
      <c r="V144" s="117">
        <v>5</v>
      </c>
      <c r="W144" s="117"/>
      <c r="X144" s="117" t="s">
        <v>5</v>
      </c>
      <c r="Y144" s="118">
        <v>3</v>
      </c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</row>
    <row r="145" spans="3:35" ht="18.75">
      <c r="C145" s="226"/>
      <c r="D145" s="215">
        <v>17</v>
      </c>
      <c r="E145" s="189" t="str">
        <f t="shared" si="1"/>
        <v>Кузнецова Екатерина</v>
      </c>
      <c r="F145" s="117"/>
      <c r="G145" s="117"/>
      <c r="H145" s="117">
        <v>5</v>
      </c>
      <c r="I145" s="117"/>
      <c r="J145" s="117">
        <v>4</v>
      </c>
      <c r="K145" s="117"/>
      <c r="L145" s="117">
        <v>4</v>
      </c>
      <c r="M145" s="118">
        <v>4</v>
      </c>
      <c r="N145" s="117">
        <v>3</v>
      </c>
      <c r="O145" s="117"/>
      <c r="P145" s="117">
        <v>4</v>
      </c>
      <c r="Q145" s="117"/>
      <c r="R145" s="117">
        <v>4</v>
      </c>
      <c r="S145" s="117">
        <v>5</v>
      </c>
      <c r="T145" s="118">
        <v>5</v>
      </c>
      <c r="U145" s="117"/>
      <c r="V145" s="117"/>
      <c r="W145" s="117"/>
      <c r="X145" s="117">
        <v>3</v>
      </c>
      <c r="Y145" s="118">
        <v>4</v>
      </c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</row>
    <row r="146" spans="3:35" ht="18.75">
      <c r="C146" s="226"/>
      <c r="D146" s="215">
        <v>18</v>
      </c>
      <c r="E146" s="189" t="str">
        <f t="shared" si="1"/>
        <v>Курило Павел</v>
      </c>
      <c r="F146" s="117"/>
      <c r="G146" s="117">
        <v>2</v>
      </c>
      <c r="H146" s="117"/>
      <c r="I146" s="117">
        <v>2</v>
      </c>
      <c r="J146" s="117" t="s">
        <v>6</v>
      </c>
      <c r="K146" s="117" t="s">
        <v>5</v>
      </c>
      <c r="L146" s="117" t="s">
        <v>5</v>
      </c>
      <c r="M146" s="118">
        <v>3</v>
      </c>
      <c r="N146" s="117">
        <v>3</v>
      </c>
      <c r="O146" s="117"/>
      <c r="P146" s="117">
        <v>2</v>
      </c>
      <c r="Q146" s="117">
        <v>3</v>
      </c>
      <c r="R146" s="117"/>
      <c r="S146" s="117">
        <v>5</v>
      </c>
      <c r="T146" s="118">
        <v>3</v>
      </c>
      <c r="U146" s="117"/>
      <c r="V146" s="117">
        <v>3</v>
      </c>
      <c r="W146" s="117">
        <v>4</v>
      </c>
      <c r="X146" s="117">
        <v>5</v>
      </c>
      <c r="Y146" s="118">
        <v>5</v>
      </c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</row>
    <row r="147" spans="3:35" ht="18.75">
      <c r="C147" s="226"/>
      <c r="D147" s="215">
        <v>19</v>
      </c>
      <c r="E147" s="189" t="str">
        <f t="shared" si="1"/>
        <v>Максимкина Татьяна</v>
      </c>
      <c r="F147" s="117"/>
      <c r="G147" s="117">
        <v>2</v>
      </c>
      <c r="H147" s="117">
        <v>2</v>
      </c>
      <c r="I147" s="117"/>
      <c r="J147" s="117">
        <v>2</v>
      </c>
      <c r="K147" s="117"/>
      <c r="L147" s="117">
        <v>2</v>
      </c>
      <c r="M147" s="118">
        <v>3</v>
      </c>
      <c r="N147" s="117">
        <v>2</v>
      </c>
      <c r="O147" s="117" t="s">
        <v>5</v>
      </c>
      <c r="P147" s="117" t="s">
        <v>5</v>
      </c>
      <c r="Q147" s="117" t="s">
        <v>5</v>
      </c>
      <c r="R147" s="117"/>
      <c r="S147" s="117">
        <v>3</v>
      </c>
      <c r="T147" s="118">
        <v>3</v>
      </c>
      <c r="U147" s="117"/>
      <c r="V147" s="117"/>
      <c r="W147" s="117"/>
      <c r="X147" s="117">
        <v>1</v>
      </c>
      <c r="Y147" s="118">
        <v>3</v>
      </c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</row>
    <row r="148" spans="3:35" ht="18.75">
      <c r="C148" s="226"/>
      <c r="D148" s="215">
        <v>20</v>
      </c>
      <c r="E148" s="189" t="str">
        <f t="shared" si="1"/>
        <v>Малахова Ксения</v>
      </c>
      <c r="F148" s="117">
        <v>3</v>
      </c>
      <c r="G148" s="117"/>
      <c r="H148" s="117">
        <v>2</v>
      </c>
      <c r="I148" s="117"/>
      <c r="J148" s="117">
        <v>2</v>
      </c>
      <c r="K148" s="117"/>
      <c r="L148" s="117">
        <v>3</v>
      </c>
      <c r="M148" s="118">
        <v>3</v>
      </c>
      <c r="N148" s="117">
        <v>3</v>
      </c>
      <c r="O148" s="117">
        <v>3</v>
      </c>
      <c r="P148" s="117" t="s">
        <v>5</v>
      </c>
      <c r="Q148" s="117" t="s">
        <v>6</v>
      </c>
      <c r="R148" s="117"/>
      <c r="S148" s="117">
        <v>5</v>
      </c>
      <c r="T148" s="118">
        <v>4</v>
      </c>
      <c r="U148" s="117">
        <v>3</v>
      </c>
      <c r="V148" s="117"/>
      <c r="W148" s="117"/>
      <c r="X148" s="117">
        <v>2</v>
      </c>
      <c r="Y148" s="118">
        <v>3</v>
      </c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</row>
    <row r="149" spans="3:35" ht="18.75">
      <c r="C149" s="226"/>
      <c r="D149" s="215">
        <v>21</v>
      </c>
      <c r="E149" s="189" t="str">
        <f t="shared" si="1"/>
        <v>Марсуверских Михаил</v>
      </c>
      <c r="F149" s="117"/>
      <c r="G149" s="117">
        <v>3</v>
      </c>
      <c r="H149" s="117"/>
      <c r="I149" s="117">
        <v>2</v>
      </c>
      <c r="J149" s="117"/>
      <c r="K149" s="117">
        <v>2</v>
      </c>
      <c r="L149" s="117">
        <v>3</v>
      </c>
      <c r="M149" s="118">
        <v>3</v>
      </c>
      <c r="N149" s="117">
        <v>1</v>
      </c>
      <c r="O149" s="117">
        <v>3</v>
      </c>
      <c r="P149" s="117">
        <v>2</v>
      </c>
      <c r="Q149" s="117"/>
      <c r="R149" s="117">
        <v>3</v>
      </c>
      <c r="S149" s="117">
        <v>4</v>
      </c>
      <c r="T149" s="118">
        <v>3</v>
      </c>
      <c r="U149" s="117"/>
      <c r="V149" s="117"/>
      <c r="W149" s="117">
        <v>4</v>
      </c>
      <c r="X149" s="117">
        <v>3</v>
      </c>
      <c r="Y149" s="118">
        <v>3</v>
      </c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</row>
    <row r="150" spans="3:35" ht="18.75">
      <c r="C150" s="226"/>
      <c r="D150" s="215">
        <v>22</v>
      </c>
      <c r="E150" s="189" t="str">
        <f t="shared" si="1"/>
        <v>Никифоров Алексей</v>
      </c>
      <c r="F150" s="117"/>
      <c r="G150" s="117">
        <v>2</v>
      </c>
      <c r="H150" s="117"/>
      <c r="I150" s="117">
        <v>4</v>
      </c>
      <c r="J150" s="117"/>
      <c r="K150" s="117">
        <v>4</v>
      </c>
      <c r="L150" s="117">
        <v>5</v>
      </c>
      <c r="M150" s="118">
        <v>4</v>
      </c>
      <c r="N150" s="117">
        <v>3</v>
      </c>
      <c r="O150" s="117" t="s">
        <v>7</v>
      </c>
      <c r="P150" s="117">
        <v>4</v>
      </c>
      <c r="Q150" s="117"/>
      <c r="R150" s="117"/>
      <c r="S150" s="117">
        <v>4</v>
      </c>
      <c r="T150" s="118">
        <v>4</v>
      </c>
      <c r="U150" s="117"/>
      <c r="V150" s="117">
        <v>4</v>
      </c>
      <c r="W150" s="117"/>
      <c r="X150" s="117">
        <v>3</v>
      </c>
      <c r="Y150" s="118">
        <v>4</v>
      </c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</row>
    <row r="151" spans="3:35" ht="18.75">
      <c r="C151" s="226"/>
      <c r="D151" s="215">
        <v>23</v>
      </c>
      <c r="E151" s="189" t="str">
        <f t="shared" si="1"/>
        <v>Панченко Олеся</v>
      </c>
      <c r="F151" s="117"/>
      <c r="G151" s="117"/>
      <c r="H151" s="117">
        <v>3</v>
      </c>
      <c r="I151" s="117"/>
      <c r="J151" s="117">
        <v>3</v>
      </c>
      <c r="K151" s="117">
        <v>2</v>
      </c>
      <c r="L151" s="117">
        <v>3</v>
      </c>
      <c r="M151" s="118">
        <v>3</v>
      </c>
      <c r="N151" s="117">
        <v>2</v>
      </c>
      <c r="O151" s="117" t="s">
        <v>6</v>
      </c>
      <c r="P151" s="117">
        <v>1</v>
      </c>
      <c r="Q151" s="117" t="s">
        <v>5</v>
      </c>
      <c r="R151" s="117">
        <v>4</v>
      </c>
      <c r="S151" s="117">
        <v>4</v>
      </c>
      <c r="T151" s="118">
        <v>3</v>
      </c>
      <c r="U151" s="117">
        <v>3</v>
      </c>
      <c r="V151" s="117"/>
      <c r="W151" s="117"/>
      <c r="X151" s="117">
        <v>4</v>
      </c>
      <c r="Y151" s="118">
        <v>3</v>
      </c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</row>
    <row r="152" spans="3:35" ht="18.75">
      <c r="C152" s="226"/>
      <c r="D152" s="215">
        <v>24</v>
      </c>
      <c r="E152" s="189" t="str">
        <f t="shared" si="1"/>
        <v>Перцев Владимир</v>
      </c>
      <c r="F152" s="117">
        <v>4</v>
      </c>
      <c r="G152" s="117"/>
      <c r="H152" s="117">
        <v>4</v>
      </c>
      <c r="I152" s="117">
        <v>2</v>
      </c>
      <c r="J152" s="117"/>
      <c r="K152" s="117">
        <v>2</v>
      </c>
      <c r="L152" s="117">
        <v>3</v>
      </c>
      <c r="M152" s="118">
        <v>3</v>
      </c>
      <c r="N152" s="117">
        <v>3</v>
      </c>
      <c r="O152" s="117"/>
      <c r="P152" s="117">
        <v>3</v>
      </c>
      <c r="Q152" s="117"/>
      <c r="R152" s="117">
        <v>4</v>
      </c>
      <c r="S152" s="117">
        <v>3</v>
      </c>
      <c r="T152" s="118">
        <v>3</v>
      </c>
      <c r="U152" s="117"/>
      <c r="V152" s="117"/>
      <c r="W152" s="117">
        <v>4</v>
      </c>
      <c r="X152" s="117">
        <v>4</v>
      </c>
      <c r="Y152" s="118">
        <v>3</v>
      </c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</row>
    <row r="153" spans="3:35" ht="18.75">
      <c r="C153" s="226"/>
      <c r="D153" s="215">
        <v>25</v>
      </c>
      <c r="E153" s="189" t="str">
        <f t="shared" si="1"/>
        <v>Плешивцев Виталий</v>
      </c>
      <c r="F153" s="117">
        <v>3</v>
      </c>
      <c r="G153" s="117">
        <v>3</v>
      </c>
      <c r="H153" s="117">
        <v>2</v>
      </c>
      <c r="I153" s="117" t="s">
        <v>6</v>
      </c>
      <c r="J153" s="117" t="s">
        <v>6</v>
      </c>
      <c r="K153" s="117"/>
      <c r="L153" s="117"/>
      <c r="M153" s="118">
        <v>3</v>
      </c>
      <c r="N153" s="117">
        <v>3</v>
      </c>
      <c r="O153" s="117"/>
      <c r="P153" s="117"/>
      <c r="Q153" s="117">
        <v>3</v>
      </c>
      <c r="R153" s="117"/>
      <c r="S153" s="117">
        <v>3</v>
      </c>
      <c r="T153" s="118">
        <v>3</v>
      </c>
      <c r="U153" s="117"/>
      <c r="V153" s="117">
        <v>4</v>
      </c>
      <c r="W153" s="117"/>
      <c r="X153" s="117" t="s">
        <v>6</v>
      </c>
      <c r="Y153" s="118">
        <v>3</v>
      </c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</row>
    <row r="154" spans="3:35" ht="18.75">
      <c r="C154" s="226"/>
      <c r="D154" s="215">
        <v>26</v>
      </c>
      <c r="E154" s="189" t="str">
        <f t="shared" si="1"/>
        <v>Савинов Александр</v>
      </c>
      <c r="F154" s="117">
        <v>5</v>
      </c>
      <c r="G154" s="117"/>
      <c r="H154" s="117">
        <v>5</v>
      </c>
      <c r="I154" s="117"/>
      <c r="J154" s="117">
        <v>5</v>
      </c>
      <c r="K154" s="117">
        <v>4</v>
      </c>
      <c r="L154" s="117" t="s">
        <v>5</v>
      </c>
      <c r="M154" s="118" t="s">
        <v>7</v>
      </c>
      <c r="N154" s="117"/>
      <c r="O154" s="117">
        <v>4</v>
      </c>
      <c r="P154" s="117" t="s">
        <v>6</v>
      </c>
      <c r="Q154" s="117" t="s">
        <v>6</v>
      </c>
      <c r="R154" s="117"/>
      <c r="S154" s="117">
        <v>5</v>
      </c>
      <c r="T154" s="118">
        <v>4</v>
      </c>
      <c r="U154" s="117"/>
      <c r="V154" s="117"/>
      <c r="W154" s="117"/>
      <c r="X154" s="117">
        <v>3</v>
      </c>
      <c r="Y154" s="118">
        <v>3</v>
      </c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</row>
    <row r="155" spans="3:35" ht="18.75">
      <c r="C155" s="226"/>
      <c r="D155" s="215">
        <v>27</v>
      </c>
      <c r="E155" s="189" t="str">
        <f t="shared" si="1"/>
        <v>Фадеева Виктория</v>
      </c>
      <c r="F155" s="117"/>
      <c r="G155" s="117">
        <v>2</v>
      </c>
      <c r="H155" s="117">
        <v>3</v>
      </c>
      <c r="I155" s="117"/>
      <c r="J155" s="117">
        <v>2</v>
      </c>
      <c r="K155" s="117"/>
      <c r="L155" s="117">
        <v>2</v>
      </c>
      <c r="M155" s="118">
        <v>3</v>
      </c>
      <c r="N155" s="117">
        <v>3</v>
      </c>
      <c r="O155" s="117"/>
      <c r="P155" s="117">
        <v>4</v>
      </c>
      <c r="Q155" s="117"/>
      <c r="R155" s="117"/>
      <c r="S155" s="117">
        <v>3</v>
      </c>
      <c r="T155" s="118">
        <v>3</v>
      </c>
      <c r="U155" s="117"/>
      <c r="V155" s="117">
        <v>4</v>
      </c>
      <c r="W155" s="117"/>
      <c r="X155" s="117">
        <v>4</v>
      </c>
      <c r="Y155" s="118">
        <v>3</v>
      </c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</row>
    <row r="156" spans="3:35" ht="18.75">
      <c r="C156" s="226"/>
      <c r="D156" s="215">
        <v>28</v>
      </c>
      <c r="E156" s="189" t="str">
        <f t="shared" si="1"/>
        <v>Шестопалова Алёна</v>
      </c>
      <c r="F156" s="117" t="s">
        <v>6</v>
      </c>
      <c r="G156" s="117" t="s">
        <v>6</v>
      </c>
      <c r="H156" s="117" t="s">
        <v>6</v>
      </c>
      <c r="I156" s="117" t="s">
        <v>6</v>
      </c>
      <c r="J156" s="117" t="s">
        <v>6</v>
      </c>
      <c r="K156" s="117"/>
      <c r="L156" s="117"/>
      <c r="M156" s="118">
        <v>3</v>
      </c>
      <c r="N156" s="117">
        <v>3</v>
      </c>
      <c r="O156" s="117">
        <v>3</v>
      </c>
      <c r="P156" s="117">
        <v>2</v>
      </c>
      <c r="Q156" s="117">
        <v>2</v>
      </c>
      <c r="R156" s="117">
        <v>4</v>
      </c>
      <c r="S156" s="117">
        <v>3</v>
      </c>
      <c r="T156" s="118">
        <v>3</v>
      </c>
      <c r="U156" s="117">
        <v>3</v>
      </c>
      <c r="V156" s="117"/>
      <c r="W156" s="117">
        <v>4</v>
      </c>
      <c r="X156" s="117">
        <v>3</v>
      </c>
      <c r="Y156" s="118">
        <v>3</v>
      </c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</row>
    <row r="157" spans="3:35" s="217" customFormat="1" ht="18.75">
      <c r="C157" s="226" t="s">
        <v>255</v>
      </c>
      <c r="D157" s="218">
        <v>29</v>
      </c>
      <c r="E157" s="189" t="str">
        <f t="shared" si="1"/>
        <v>Егоров Иван</v>
      </c>
      <c r="F157" s="119"/>
      <c r="G157" s="119">
        <v>3</v>
      </c>
      <c r="H157" s="119"/>
      <c r="I157" s="119"/>
      <c r="J157" s="119">
        <v>5</v>
      </c>
      <c r="K157" s="119">
        <v>3</v>
      </c>
      <c r="L157" s="119"/>
      <c r="M157" s="118">
        <v>4</v>
      </c>
      <c r="N157" s="119" t="s">
        <v>5</v>
      </c>
      <c r="O157" s="119" t="s">
        <v>5</v>
      </c>
      <c r="P157" s="119" t="s">
        <v>5</v>
      </c>
      <c r="Q157" s="119" t="s">
        <v>5</v>
      </c>
      <c r="R157" s="119"/>
      <c r="S157" s="119">
        <v>5</v>
      </c>
      <c r="T157" s="118">
        <v>4</v>
      </c>
      <c r="U157" s="119"/>
      <c r="V157" s="119"/>
      <c r="W157" s="119"/>
      <c r="X157" s="119">
        <v>3</v>
      </c>
      <c r="Y157" s="118">
        <v>4</v>
      </c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</row>
    <row r="158" spans="3:35" s="217" customFormat="1" ht="18.75">
      <c r="C158" s="226" t="s">
        <v>257</v>
      </c>
      <c r="D158" s="218">
        <v>30</v>
      </c>
      <c r="E158" s="189" t="str">
        <f t="shared" si="1"/>
        <v>Степанов Олег</v>
      </c>
      <c r="F158" s="119">
        <v>3</v>
      </c>
      <c r="G158" s="119"/>
      <c r="H158" s="119">
        <v>3</v>
      </c>
      <c r="I158" s="119"/>
      <c r="J158" s="119">
        <v>2</v>
      </c>
      <c r="K158" s="119"/>
      <c r="L158" s="119"/>
      <c r="M158" s="118">
        <v>4</v>
      </c>
      <c r="N158" s="119"/>
      <c r="O158" s="119"/>
      <c r="P158" s="119">
        <v>3</v>
      </c>
      <c r="Q158" s="119"/>
      <c r="R158" s="119">
        <v>4</v>
      </c>
      <c r="S158" s="119">
        <v>3</v>
      </c>
      <c r="T158" s="118">
        <v>4</v>
      </c>
      <c r="U158" s="119">
        <v>3</v>
      </c>
      <c r="V158" s="119"/>
      <c r="W158" s="119"/>
      <c r="X158" s="119">
        <v>3</v>
      </c>
      <c r="Y158" s="118">
        <v>4</v>
      </c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</row>
    <row r="159" spans="3:35" s="217" customFormat="1" ht="18.75">
      <c r="C159" s="226" t="s">
        <v>257</v>
      </c>
      <c r="D159" s="218">
        <v>31</v>
      </c>
      <c r="E159" s="189" t="s">
        <v>235</v>
      </c>
      <c r="F159" s="119"/>
      <c r="G159" s="119"/>
      <c r="H159" s="119">
        <v>4</v>
      </c>
      <c r="I159" s="119">
        <v>3</v>
      </c>
      <c r="J159" s="119">
        <v>3</v>
      </c>
      <c r="K159" s="119">
        <v>3</v>
      </c>
      <c r="L159" s="119">
        <v>4</v>
      </c>
      <c r="M159" s="118">
        <v>4</v>
      </c>
      <c r="N159" s="119"/>
      <c r="O159" s="119"/>
      <c r="P159" s="119">
        <v>4</v>
      </c>
      <c r="Q159" s="119">
        <v>5</v>
      </c>
      <c r="R159" s="119">
        <v>3</v>
      </c>
      <c r="S159" s="119"/>
      <c r="T159" s="118"/>
      <c r="U159" s="119"/>
      <c r="V159" s="119">
        <v>4</v>
      </c>
      <c r="W159" s="119">
        <v>4</v>
      </c>
      <c r="X159" s="119"/>
      <c r="Y159" s="118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</row>
    <row r="160" spans="3:35" ht="18.75">
      <c r="C160" s="226"/>
      <c r="D160" s="215">
        <v>32</v>
      </c>
      <c r="E160" s="189">
        <f t="shared" si="1"/>
      </c>
      <c r="F160" s="119"/>
      <c r="G160" s="119"/>
      <c r="H160" s="119"/>
      <c r="I160" s="119"/>
      <c r="J160" s="119"/>
      <c r="K160" s="119"/>
      <c r="L160" s="119"/>
      <c r="M160" s="118"/>
      <c r="N160" s="119"/>
      <c r="O160" s="119"/>
      <c r="P160" s="119"/>
      <c r="Q160" s="119"/>
      <c r="R160" s="119"/>
      <c r="S160" s="119"/>
      <c r="T160" s="118"/>
      <c r="U160" s="119"/>
      <c r="V160" s="119"/>
      <c r="W160" s="119"/>
      <c r="X160" s="119"/>
      <c r="Y160" s="118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</row>
    <row r="161" spans="3:35" ht="18.75">
      <c r="C161" s="226"/>
      <c r="D161" s="215">
        <v>33</v>
      </c>
      <c r="E161" s="189">
        <f t="shared" si="1"/>
      </c>
      <c r="F161" s="119"/>
      <c r="G161" s="119"/>
      <c r="H161" s="119"/>
      <c r="I161" s="119"/>
      <c r="J161" s="119"/>
      <c r="K161" s="119"/>
      <c r="L161" s="119"/>
      <c r="M161" s="118"/>
      <c r="N161" s="119"/>
      <c r="O161" s="119"/>
      <c r="P161" s="119"/>
      <c r="Q161" s="119"/>
      <c r="R161" s="119"/>
      <c r="S161" s="119"/>
      <c r="T161" s="118"/>
      <c r="U161" s="119"/>
      <c r="V161" s="119"/>
      <c r="W161" s="119"/>
      <c r="X161" s="119"/>
      <c r="Y161" s="118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</row>
    <row r="162" spans="3:35" ht="18.75">
      <c r="C162" s="226"/>
      <c r="D162" s="215">
        <v>34</v>
      </c>
      <c r="E162" s="189">
        <f t="shared" si="1"/>
      </c>
      <c r="F162" s="119"/>
      <c r="G162" s="119"/>
      <c r="H162" s="119"/>
      <c r="I162" s="119"/>
      <c r="J162" s="119"/>
      <c r="K162" s="119"/>
      <c r="L162" s="119"/>
      <c r="M162" s="118"/>
      <c r="N162" s="119"/>
      <c r="O162" s="119"/>
      <c r="P162" s="119"/>
      <c r="Q162" s="119"/>
      <c r="R162" s="119"/>
      <c r="S162" s="119"/>
      <c r="T162" s="118"/>
      <c r="U162" s="119"/>
      <c r="V162" s="119"/>
      <c r="W162" s="119"/>
      <c r="X162" s="119"/>
      <c r="Y162" s="118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</row>
    <row r="163" spans="3:35" ht="19.5" thickBot="1">
      <c r="C163" s="226"/>
      <c r="D163" s="215">
        <v>35</v>
      </c>
      <c r="E163" s="268">
        <f t="shared" si="1"/>
      </c>
      <c r="F163" s="273"/>
      <c r="G163" s="273"/>
      <c r="H163" s="273"/>
      <c r="I163" s="273"/>
      <c r="J163" s="273"/>
      <c r="K163" s="273"/>
      <c r="L163" s="273"/>
      <c r="M163" s="270"/>
      <c r="N163" s="273"/>
      <c r="O163" s="273"/>
      <c r="P163" s="273"/>
      <c r="Q163" s="273"/>
      <c r="R163" s="273"/>
      <c r="S163" s="273"/>
      <c r="T163" s="270"/>
      <c r="U163" s="273"/>
      <c r="V163" s="273"/>
      <c r="W163" s="273"/>
      <c r="X163" s="273"/>
      <c r="Y163" s="118"/>
      <c r="Z163" s="273"/>
      <c r="AA163" s="273"/>
      <c r="AB163" s="273"/>
      <c r="AC163" s="273"/>
      <c r="AD163" s="273"/>
      <c r="AE163" s="273"/>
      <c r="AF163" s="273"/>
      <c r="AG163" s="273"/>
      <c r="AH163" s="273"/>
      <c r="AI163" s="273"/>
    </row>
    <row r="164" spans="3:35" ht="100.5" customHeight="1" thickBot="1" thickTop="1">
      <c r="C164" s="230"/>
      <c r="D164" s="234">
        <f>COUNTA(E129:E163)-COUNTBLANK(E129:E163)-COUNTIF(C129:C163,"-")</f>
        <v>28</v>
      </c>
      <c r="E164" s="271" t="s">
        <v>69</v>
      </c>
      <c r="F164" s="272" t="s">
        <v>148</v>
      </c>
      <c r="G164" s="272" t="s">
        <v>150</v>
      </c>
      <c r="H164" s="272" t="s">
        <v>151</v>
      </c>
      <c r="I164" s="272" t="s">
        <v>152</v>
      </c>
      <c r="J164" s="272" t="s">
        <v>153</v>
      </c>
      <c r="K164" s="272" t="s">
        <v>154</v>
      </c>
      <c r="L164" s="272" t="s">
        <v>149</v>
      </c>
      <c r="M164" s="272"/>
      <c r="N164" s="272" t="s">
        <v>155</v>
      </c>
      <c r="O164" s="272" t="s">
        <v>156</v>
      </c>
      <c r="P164" s="272" t="s">
        <v>157</v>
      </c>
      <c r="Q164" s="272" t="s">
        <v>158</v>
      </c>
      <c r="R164" s="272" t="s">
        <v>159</v>
      </c>
      <c r="S164" s="272" t="s">
        <v>160</v>
      </c>
      <c r="T164" s="272"/>
      <c r="U164" s="272" t="s">
        <v>161</v>
      </c>
      <c r="V164" s="272" t="s">
        <v>162</v>
      </c>
      <c r="W164" s="272" t="s">
        <v>163</v>
      </c>
      <c r="X164" s="272" t="s">
        <v>164</v>
      </c>
      <c r="Y164" s="272"/>
      <c r="Z164" s="274"/>
      <c r="AA164" s="274"/>
      <c r="AB164" s="272"/>
      <c r="AC164" s="272"/>
      <c r="AD164" s="272"/>
      <c r="AE164" s="272"/>
      <c r="AF164" s="272"/>
      <c r="AG164" s="272"/>
      <c r="AH164" s="272"/>
      <c r="AI164" s="272"/>
    </row>
    <row r="165" ht="18.75" customHeight="1" thickTop="1"/>
    <row r="166" ht="18.75" customHeight="1" thickBot="1">
      <c r="E166" s="236"/>
    </row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3.5" hidden="1" thickBot="1">
      <c r="B182" s="7"/>
    </row>
    <row r="183" spans="3:58" ht="19.5" thickBot="1" thickTop="1">
      <c r="C183" s="235"/>
      <c r="D183" s="47">
        <v>8</v>
      </c>
      <c r="E183" s="261" t="s">
        <v>202</v>
      </c>
      <c r="F183" s="267"/>
      <c r="G183" s="306" t="s">
        <v>203</v>
      </c>
      <c r="H183" s="312"/>
      <c r="I183" s="313" t="s">
        <v>204</v>
      </c>
      <c r="J183" s="314"/>
      <c r="K183" s="314"/>
      <c r="L183" s="315"/>
      <c r="M183" s="266"/>
      <c r="N183" s="266"/>
      <c r="O183" s="266"/>
      <c r="P183" s="266"/>
      <c r="Q183" s="266"/>
      <c r="R183" s="266"/>
      <c r="S183" s="266"/>
      <c r="T183" s="266"/>
      <c r="U183" s="266"/>
      <c r="V183" s="266"/>
      <c r="W183" s="266"/>
      <c r="X183" s="266"/>
      <c r="Y183" s="266"/>
      <c r="Z183" s="266"/>
      <c r="AA183" s="266"/>
      <c r="AB183" s="266"/>
      <c r="AC183" s="266"/>
      <c r="AD183" s="266"/>
      <c r="AE183" s="266"/>
      <c r="AF183" s="266"/>
      <c r="AG183" s="266"/>
      <c r="AH183" s="266"/>
      <c r="AI183" s="266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</row>
    <row r="184" spans="3:35" ht="21.75" thickBot="1" thickTop="1">
      <c r="C184" s="228"/>
      <c r="D184" s="47">
        <v>2</v>
      </c>
      <c r="E184" s="62">
        <f ca="1">NOW()</f>
        <v>39252.589404398146</v>
      </c>
      <c r="F184" s="124"/>
      <c r="G184" s="307" t="s">
        <v>82</v>
      </c>
      <c r="H184" s="308"/>
      <c r="I184" s="308"/>
      <c r="J184" s="308"/>
      <c r="K184" s="308"/>
      <c r="L184" s="308"/>
      <c r="M184" s="308"/>
      <c r="N184" s="308"/>
      <c r="O184" s="308"/>
      <c r="P184" s="308"/>
      <c r="Q184" s="308"/>
      <c r="R184" s="308"/>
      <c r="S184" s="308"/>
      <c r="T184" s="309"/>
      <c r="U184" s="8"/>
      <c r="V184" s="8"/>
      <c r="W184" s="8"/>
      <c r="X184" s="8"/>
      <c r="Y184" s="8"/>
      <c r="Z184" s="8"/>
      <c r="AA184" s="122"/>
      <c r="AB184" s="122"/>
      <c r="AC184" s="122"/>
      <c r="AD184" s="8"/>
      <c r="AE184" s="8"/>
      <c r="AF184" s="8"/>
      <c r="AG184" s="8"/>
      <c r="AH184" s="8"/>
      <c r="AI184" s="8"/>
    </row>
    <row r="185" spans="3:35" ht="176.25" customHeight="1" thickTop="1">
      <c r="C185" s="310" t="s">
        <v>256</v>
      </c>
      <c r="D185" s="197" t="s">
        <v>190</v>
      </c>
      <c r="E185" s="198" t="s">
        <v>212</v>
      </c>
      <c r="F185" s="121" t="s">
        <v>135</v>
      </c>
      <c r="G185" s="121" t="s">
        <v>136</v>
      </c>
      <c r="H185" s="121" t="s">
        <v>137</v>
      </c>
      <c r="I185" s="121" t="s">
        <v>138</v>
      </c>
      <c r="J185" s="121" t="s">
        <v>139</v>
      </c>
      <c r="K185" s="121" t="s">
        <v>197</v>
      </c>
      <c r="L185" s="121" t="s">
        <v>140</v>
      </c>
      <c r="M185" s="121" t="s">
        <v>141</v>
      </c>
      <c r="N185" s="121" t="s">
        <v>142</v>
      </c>
      <c r="O185" s="121" t="s">
        <v>143</v>
      </c>
      <c r="P185" s="121" t="s">
        <v>146</v>
      </c>
      <c r="Q185" s="121" t="s">
        <v>144</v>
      </c>
      <c r="R185" s="121" t="s">
        <v>145</v>
      </c>
      <c r="S185" s="123" t="s">
        <v>198</v>
      </c>
      <c r="T185" s="123" t="s">
        <v>182</v>
      </c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</row>
    <row r="186" spans="3:35" ht="18">
      <c r="C186" s="311"/>
      <c r="D186" s="8"/>
      <c r="E186" s="111" t="s">
        <v>0</v>
      </c>
      <c r="F186" s="200">
        <v>1</v>
      </c>
      <c r="G186" s="200">
        <v>2</v>
      </c>
      <c r="H186" s="200">
        <v>3</v>
      </c>
      <c r="I186" s="200">
        <v>4</v>
      </c>
      <c r="J186" s="200">
        <v>5</v>
      </c>
      <c r="K186" s="200">
        <v>6</v>
      </c>
      <c r="L186" s="200">
        <v>7</v>
      </c>
      <c r="M186" s="200">
        <v>8</v>
      </c>
      <c r="N186" s="200">
        <v>9</v>
      </c>
      <c r="O186" s="200">
        <v>10</v>
      </c>
      <c r="P186" s="200">
        <v>11</v>
      </c>
      <c r="Q186" s="200">
        <v>12</v>
      </c>
      <c r="R186" s="200">
        <v>13</v>
      </c>
      <c r="S186" s="200">
        <v>14</v>
      </c>
      <c r="T186" s="200">
        <v>15</v>
      </c>
      <c r="U186" s="200">
        <v>16</v>
      </c>
      <c r="V186" s="200">
        <v>17</v>
      </c>
      <c r="W186" s="200">
        <v>18</v>
      </c>
      <c r="X186" s="200">
        <v>19</v>
      </c>
      <c r="Y186" s="200">
        <v>20</v>
      </c>
      <c r="Z186" s="200">
        <v>21</v>
      </c>
      <c r="AA186" s="200">
        <v>22</v>
      </c>
      <c r="AB186" s="200">
        <v>23</v>
      </c>
      <c r="AC186" s="200">
        <v>24</v>
      </c>
      <c r="AD186" s="200">
        <v>25</v>
      </c>
      <c r="AE186" s="200">
        <v>26</v>
      </c>
      <c r="AF186" s="200">
        <v>27</v>
      </c>
      <c r="AG186" s="200">
        <v>28</v>
      </c>
      <c r="AH186" s="200">
        <v>29</v>
      </c>
      <c r="AI186" s="200">
        <v>30</v>
      </c>
    </row>
    <row r="187" spans="3:35" ht="25.5">
      <c r="C187" s="311"/>
      <c r="D187" s="212" t="s">
        <v>1</v>
      </c>
      <c r="E187" s="220" t="str">
        <f>"Учащихся   "&amp;D224</f>
        <v>Учащихся   31</v>
      </c>
      <c r="F187" s="117" t="s">
        <v>3</v>
      </c>
      <c r="G187" s="117" t="s">
        <v>3</v>
      </c>
      <c r="H187" s="117" t="s">
        <v>3</v>
      </c>
      <c r="I187" s="117" t="s">
        <v>3</v>
      </c>
      <c r="J187" s="117" t="s">
        <v>3</v>
      </c>
      <c r="K187" s="117" t="s">
        <v>3</v>
      </c>
      <c r="L187" s="117" t="s">
        <v>3</v>
      </c>
      <c r="M187" s="117" t="s">
        <v>3</v>
      </c>
      <c r="N187" s="117" t="s">
        <v>3</v>
      </c>
      <c r="O187" s="117" t="s">
        <v>3</v>
      </c>
      <c r="P187" s="117" t="s">
        <v>3</v>
      </c>
      <c r="Q187" s="117" t="s">
        <v>3</v>
      </c>
      <c r="R187" s="117" t="s">
        <v>3</v>
      </c>
      <c r="S187" s="117" t="s">
        <v>3</v>
      </c>
      <c r="T187" s="117" t="s">
        <v>3</v>
      </c>
      <c r="U187" s="117" t="s">
        <v>3</v>
      </c>
      <c r="V187" s="117" t="s">
        <v>3</v>
      </c>
      <c r="W187" s="117" t="s">
        <v>3</v>
      </c>
      <c r="X187" s="117" t="s">
        <v>3</v>
      </c>
      <c r="Y187" s="117" t="s">
        <v>3</v>
      </c>
      <c r="Z187" s="117" t="s">
        <v>3</v>
      </c>
      <c r="AA187" s="117" t="s">
        <v>3</v>
      </c>
      <c r="AB187" s="117" t="s">
        <v>3</v>
      </c>
      <c r="AC187" s="117" t="s">
        <v>3</v>
      </c>
      <c r="AD187" s="117" t="s">
        <v>3</v>
      </c>
      <c r="AE187" s="117" t="s">
        <v>3</v>
      </c>
      <c r="AF187" s="117" t="s">
        <v>3</v>
      </c>
      <c r="AG187" s="117" t="s">
        <v>3</v>
      </c>
      <c r="AH187" s="117" t="s">
        <v>3</v>
      </c>
      <c r="AI187" s="117" t="s">
        <v>3</v>
      </c>
    </row>
    <row r="188" spans="3:35" ht="18.75" thickBot="1">
      <c r="C188" s="304"/>
      <c r="D188" s="204"/>
      <c r="E188" s="213" t="s">
        <v>2</v>
      </c>
      <c r="F188" s="116">
        <v>39175</v>
      </c>
      <c r="G188" s="116">
        <v>39179</v>
      </c>
      <c r="H188" s="116">
        <v>39182</v>
      </c>
      <c r="I188" s="116">
        <v>39186</v>
      </c>
      <c r="J188" s="116">
        <v>39189</v>
      </c>
      <c r="K188" s="116">
        <v>39193</v>
      </c>
      <c r="L188" s="116">
        <v>39196</v>
      </c>
      <c r="M188" s="116">
        <v>39200</v>
      </c>
      <c r="N188" s="116">
        <v>39207</v>
      </c>
      <c r="O188" s="116">
        <v>39210</v>
      </c>
      <c r="P188" s="116">
        <v>39214</v>
      </c>
      <c r="Q188" s="116">
        <v>39217</v>
      </c>
      <c r="R188" s="116">
        <v>39221</v>
      </c>
      <c r="S188" s="116">
        <v>39224</v>
      </c>
      <c r="T188" s="116">
        <v>39228</v>
      </c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</row>
    <row r="189" spans="3:35" ht="19.5" thickTop="1">
      <c r="C189" s="232"/>
      <c r="D189" s="215">
        <v>1</v>
      </c>
      <c r="E189" s="189" t="str">
        <f>IF(E129="","",E129)</f>
        <v>Алексеева Настя</v>
      </c>
      <c r="F189" s="117"/>
      <c r="G189" s="117"/>
      <c r="H189" s="117">
        <v>3</v>
      </c>
      <c r="I189" s="117"/>
      <c r="J189" s="117">
        <v>4</v>
      </c>
      <c r="K189" s="117"/>
      <c r="L189" s="117">
        <v>5</v>
      </c>
      <c r="M189" s="117"/>
      <c r="N189" s="119">
        <v>3</v>
      </c>
      <c r="O189" s="117"/>
      <c r="P189" s="119">
        <v>5</v>
      </c>
      <c r="Q189" s="117"/>
      <c r="R189" s="117">
        <v>5</v>
      </c>
      <c r="S189" s="270" t="s">
        <v>5</v>
      </c>
      <c r="T189" s="270">
        <v>4</v>
      </c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</row>
    <row r="190" spans="3:35" ht="18.75">
      <c r="C190" s="226"/>
      <c r="D190" s="215">
        <v>2</v>
      </c>
      <c r="E190" s="189" t="str">
        <f aca="true" t="shared" si="2" ref="E190:E223">IF(E130="","",E130)</f>
        <v>Богоутдинов Данил</v>
      </c>
      <c r="F190" s="117">
        <v>4</v>
      </c>
      <c r="G190" s="117"/>
      <c r="H190" s="117"/>
      <c r="I190" s="117">
        <v>4</v>
      </c>
      <c r="J190" s="117">
        <v>2</v>
      </c>
      <c r="K190" s="117" t="s">
        <v>5</v>
      </c>
      <c r="L190" s="117">
        <v>2</v>
      </c>
      <c r="M190" s="117" t="s">
        <v>6</v>
      </c>
      <c r="N190" s="119">
        <v>3</v>
      </c>
      <c r="O190" s="117"/>
      <c r="P190" s="119" t="s">
        <v>7</v>
      </c>
      <c r="Q190" s="117">
        <v>4</v>
      </c>
      <c r="R190" s="117">
        <v>4</v>
      </c>
      <c r="S190" s="270" t="s">
        <v>5</v>
      </c>
      <c r="T190" s="270">
        <v>4</v>
      </c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</row>
    <row r="191" spans="3:35" ht="18.75">
      <c r="C191" s="226"/>
      <c r="D191" s="215">
        <v>3</v>
      </c>
      <c r="E191" s="189" t="str">
        <f t="shared" si="2"/>
        <v>Бавеян Рафик</v>
      </c>
      <c r="F191" s="117"/>
      <c r="G191" s="117"/>
      <c r="H191" s="117">
        <v>3</v>
      </c>
      <c r="I191" s="117"/>
      <c r="J191" s="117"/>
      <c r="K191" s="117">
        <v>4</v>
      </c>
      <c r="L191" s="117">
        <v>2</v>
      </c>
      <c r="M191" s="117">
        <v>3</v>
      </c>
      <c r="N191" s="119" t="s">
        <v>6</v>
      </c>
      <c r="O191" s="117" t="s">
        <v>6</v>
      </c>
      <c r="P191" s="119">
        <v>1</v>
      </c>
      <c r="Q191" s="117" t="s">
        <v>5</v>
      </c>
      <c r="R191" s="117" t="s">
        <v>5</v>
      </c>
      <c r="S191" s="270">
        <v>2</v>
      </c>
      <c r="T191" s="270">
        <v>3</v>
      </c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</row>
    <row r="192" spans="3:35" ht="18.75">
      <c r="C192" s="226"/>
      <c r="D192" s="215">
        <v>4</v>
      </c>
      <c r="E192" s="189" t="str">
        <f t="shared" si="2"/>
        <v>Бахметьев Михаил</v>
      </c>
      <c r="F192" s="117"/>
      <c r="G192" s="117"/>
      <c r="H192" s="117" t="s">
        <v>5</v>
      </c>
      <c r="I192" s="119">
        <v>3</v>
      </c>
      <c r="J192" s="117">
        <v>2</v>
      </c>
      <c r="K192" s="117"/>
      <c r="L192" s="117">
        <v>4</v>
      </c>
      <c r="M192" s="117"/>
      <c r="N192" s="119">
        <v>4</v>
      </c>
      <c r="O192" s="117">
        <v>2</v>
      </c>
      <c r="P192" s="119">
        <v>3</v>
      </c>
      <c r="Q192" s="117"/>
      <c r="R192" s="117">
        <v>3</v>
      </c>
      <c r="S192" s="270">
        <v>3</v>
      </c>
      <c r="T192" s="270">
        <v>3</v>
      </c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</row>
    <row r="193" spans="3:35" s="217" customFormat="1" ht="18.75">
      <c r="C193" s="226" t="s">
        <v>255</v>
      </c>
      <c r="D193" s="218">
        <v>5</v>
      </c>
      <c r="E193" s="189" t="str">
        <f t="shared" si="2"/>
        <v>Бузгин Иван</v>
      </c>
      <c r="F193" s="119"/>
      <c r="G193" s="117"/>
      <c r="H193" s="117"/>
      <c r="I193" s="205"/>
      <c r="J193" s="205"/>
      <c r="K193" s="205"/>
      <c r="L193" s="205"/>
      <c r="M193" s="205"/>
      <c r="N193" s="119"/>
      <c r="O193" s="205"/>
      <c r="P193" s="119"/>
      <c r="Q193" s="205"/>
      <c r="R193" s="205"/>
      <c r="S193" s="270"/>
      <c r="T193" s="270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</row>
    <row r="194" spans="3:35" ht="18.75">
      <c r="C194" s="226"/>
      <c r="D194" s="215">
        <v>6</v>
      </c>
      <c r="E194" s="189" t="str">
        <f t="shared" si="2"/>
        <v>Валеев Руслан</v>
      </c>
      <c r="F194" s="117">
        <v>4</v>
      </c>
      <c r="G194" s="117"/>
      <c r="H194" s="117"/>
      <c r="I194" s="117">
        <v>4</v>
      </c>
      <c r="J194" s="117">
        <v>5</v>
      </c>
      <c r="K194" s="117"/>
      <c r="L194" s="117">
        <v>3</v>
      </c>
      <c r="M194" s="117" t="s">
        <v>5</v>
      </c>
      <c r="N194" s="119" t="s">
        <v>5</v>
      </c>
      <c r="O194" s="117" t="s">
        <v>5</v>
      </c>
      <c r="P194" s="119">
        <v>3</v>
      </c>
      <c r="Q194" s="117"/>
      <c r="R194" s="117">
        <v>4</v>
      </c>
      <c r="S194" s="270">
        <v>3</v>
      </c>
      <c r="T194" s="270">
        <v>3</v>
      </c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</row>
    <row r="195" spans="3:35" ht="18.75">
      <c r="C195" s="226"/>
      <c r="D195" s="215">
        <v>7</v>
      </c>
      <c r="E195" s="189" t="str">
        <f t="shared" si="2"/>
        <v>Власов Владимир</v>
      </c>
      <c r="F195" s="117"/>
      <c r="G195" s="117">
        <v>3</v>
      </c>
      <c r="H195" s="117"/>
      <c r="I195" s="117"/>
      <c r="J195" s="117">
        <v>2</v>
      </c>
      <c r="K195" s="117">
        <v>3</v>
      </c>
      <c r="L195" s="117"/>
      <c r="M195" s="117">
        <v>3</v>
      </c>
      <c r="N195" s="119"/>
      <c r="O195" s="117">
        <v>3</v>
      </c>
      <c r="P195" s="119" t="s">
        <v>5</v>
      </c>
      <c r="Q195" s="117"/>
      <c r="R195" s="117">
        <v>1</v>
      </c>
      <c r="S195" s="270">
        <v>3</v>
      </c>
      <c r="T195" s="270">
        <v>3</v>
      </c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</row>
    <row r="196" spans="3:35" ht="18.75">
      <c r="C196" s="226"/>
      <c r="D196" s="215">
        <v>8</v>
      </c>
      <c r="E196" s="189" t="str">
        <f t="shared" si="2"/>
        <v>Головина Дарья</v>
      </c>
      <c r="F196" s="117"/>
      <c r="G196" s="117"/>
      <c r="H196" s="117"/>
      <c r="I196" s="117">
        <v>5</v>
      </c>
      <c r="J196" s="117"/>
      <c r="K196" s="117"/>
      <c r="L196" s="117">
        <v>4</v>
      </c>
      <c r="M196" s="117"/>
      <c r="N196" s="119"/>
      <c r="O196" s="117">
        <v>3</v>
      </c>
      <c r="P196" s="119">
        <v>4</v>
      </c>
      <c r="Q196" s="117"/>
      <c r="R196" s="117">
        <v>5</v>
      </c>
      <c r="S196" s="270">
        <v>5</v>
      </c>
      <c r="T196" s="270">
        <v>4</v>
      </c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</row>
    <row r="197" spans="3:35" ht="18.75">
      <c r="C197" s="226" t="s">
        <v>255</v>
      </c>
      <c r="D197" s="215">
        <v>9</v>
      </c>
      <c r="E197" s="189" t="str">
        <f t="shared" si="2"/>
        <v>Грачёв Михаил</v>
      </c>
      <c r="F197" s="117"/>
      <c r="G197" s="117">
        <v>3</v>
      </c>
      <c r="H197" s="117" t="s">
        <v>7</v>
      </c>
      <c r="I197" s="117"/>
      <c r="J197" s="117">
        <v>3</v>
      </c>
      <c r="K197" s="117"/>
      <c r="L197" s="117">
        <v>4</v>
      </c>
      <c r="M197" s="117"/>
      <c r="N197" s="119">
        <v>2</v>
      </c>
      <c r="O197" s="117"/>
      <c r="P197" s="119">
        <v>3</v>
      </c>
      <c r="Q197" s="117"/>
      <c r="R197" s="117">
        <v>3</v>
      </c>
      <c r="S197" s="270">
        <v>3</v>
      </c>
      <c r="T197" s="270">
        <v>4</v>
      </c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</row>
    <row r="198" spans="3:35" ht="18.75">
      <c r="C198" s="226"/>
      <c r="D198" s="215">
        <v>10</v>
      </c>
      <c r="E198" s="189" t="str">
        <f t="shared" si="2"/>
        <v>Добрынин Павел</v>
      </c>
      <c r="F198" s="117"/>
      <c r="G198" s="117"/>
      <c r="H198" s="117">
        <v>4</v>
      </c>
      <c r="I198" s="117"/>
      <c r="J198" s="117"/>
      <c r="K198" s="117">
        <v>4</v>
      </c>
      <c r="L198" s="117"/>
      <c r="M198" s="117">
        <v>4</v>
      </c>
      <c r="N198" s="119"/>
      <c r="O198" s="117">
        <v>3</v>
      </c>
      <c r="P198" s="119">
        <v>3</v>
      </c>
      <c r="Q198" s="117">
        <v>5</v>
      </c>
      <c r="R198" s="117">
        <v>4</v>
      </c>
      <c r="S198" s="270">
        <v>4</v>
      </c>
      <c r="T198" s="270">
        <v>3</v>
      </c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</row>
    <row r="199" spans="3:35" ht="18.75">
      <c r="C199" s="226"/>
      <c r="D199" s="215">
        <v>11</v>
      </c>
      <c r="E199" s="189" t="str">
        <f t="shared" si="2"/>
        <v>Жарков Егор</v>
      </c>
      <c r="F199" s="117">
        <v>3</v>
      </c>
      <c r="G199" s="117"/>
      <c r="H199" s="117"/>
      <c r="I199" s="117">
        <v>3</v>
      </c>
      <c r="J199" s="117"/>
      <c r="K199" s="117">
        <v>4</v>
      </c>
      <c r="L199" s="117"/>
      <c r="M199" s="117">
        <v>4</v>
      </c>
      <c r="N199" s="119"/>
      <c r="O199" s="117">
        <v>3</v>
      </c>
      <c r="P199" s="119">
        <v>3</v>
      </c>
      <c r="Q199" s="117">
        <v>4</v>
      </c>
      <c r="R199" s="117">
        <v>3</v>
      </c>
      <c r="S199" s="270">
        <v>4</v>
      </c>
      <c r="T199" s="270">
        <v>3</v>
      </c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</row>
    <row r="200" spans="3:35" ht="18.75">
      <c r="C200" s="226"/>
      <c r="D200" s="215">
        <v>12</v>
      </c>
      <c r="E200" s="189" t="str">
        <f t="shared" si="2"/>
        <v>Заева Владлена</v>
      </c>
      <c r="F200" s="117"/>
      <c r="G200" s="117"/>
      <c r="H200" s="117"/>
      <c r="I200" s="117">
        <v>4</v>
      </c>
      <c r="J200" s="117">
        <v>5</v>
      </c>
      <c r="K200" s="117"/>
      <c r="L200" s="117">
        <v>3</v>
      </c>
      <c r="M200" s="117"/>
      <c r="N200" s="119">
        <v>4</v>
      </c>
      <c r="O200" s="117"/>
      <c r="P200" s="119">
        <v>5</v>
      </c>
      <c r="Q200" s="117"/>
      <c r="R200" s="117">
        <v>4</v>
      </c>
      <c r="S200" s="270">
        <v>3</v>
      </c>
      <c r="T200" s="270">
        <v>4</v>
      </c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</row>
    <row r="201" spans="3:35" ht="18.75">
      <c r="C201" s="226"/>
      <c r="D201" s="215">
        <v>13</v>
      </c>
      <c r="E201" s="189" t="str">
        <f t="shared" si="2"/>
        <v>Игошева Анастасия</v>
      </c>
      <c r="F201" s="117"/>
      <c r="G201" s="117"/>
      <c r="H201" s="117" t="s">
        <v>5</v>
      </c>
      <c r="I201" s="117" t="s">
        <v>5</v>
      </c>
      <c r="J201" s="117"/>
      <c r="K201" s="117">
        <v>3</v>
      </c>
      <c r="L201" s="117">
        <v>3</v>
      </c>
      <c r="M201" s="117"/>
      <c r="N201" s="119">
        <v>2</v>
      </c>
      <c r="O201" s="117"/>
      <c r="P201" s="119" t="s">
        <v>6</v>
      </c>
      <c r="Q201" s="117"/>
      <c r="R201" s="117">
        <v>2</v>
      </c>
      <c r="S201" s="270">
        <v>4</v>
      </c>
      <c r="T201" s="270">
        <v>4</v>
      </c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</row>
    <row r="202" spans="3:35" ht="18.75">
      <c r="C202" s="226"/>
      <c r="D202" s="215">
        <v>14</v>
      </c>
      <c r="E202" s="189" t="str">
        <f t="shared" si="2"/>
        <v>Казанцев Андрей</v>
      </c>
      <c r="F202" s="117"/>
      <c r="G202" s="117"/>
      <c r="H202" s="117">
        <v>3</v>
      </c>
      <c r="I202" s="117" t="s">
        <v>5</v>
      </c>
      <c r="J202" s="117" t="s">
        <v>5</v>
      </c>
      <c r="K202" s="117" t="s">
        <v>5</v>
      </c>
      <c r="L202" s="117"/>
      <c r="M202" s="117">
        <v>3</v>
      </c>
      <c r="N202" s="119"/>
      <c r="O202" s="117">
        <v>2</v>
      </c>
      <c r="P202" s="119">
        <v>1</v>
      </c>
      <c r="Q202" s="117"/>
      <c r="R202" s="117">
        <v>1</v>
      </c>
      <c r="S202" s="270">
        <v>3</v>
      </c>
      <c r="T202" s="270">
        <v>3</v>
      </c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</row>
    <row r="203" spans="3:35" ht="18.75">
      <c r="C203" s="226"/>
      <c r="D203" s="215">
        <v>15</v>
      </c>
      <c r="E203" s="189" t="str">
        <f t="shared" si="2"/>
        <v>Кравченко Кристина</v>
      </c>
      <c r="F203" s="117"/>
      <c r="G203" s="117">
        <v>4</v>
      </c>
      <c r="H203" s="117">
        <v>5</v>
      </c>
      <c r="I203" s="117"/>
      <c r="J203" s="117">
        <v>4</v>
      </c>
      <c r="K203" s="117">
        <v>4</v>
      </c>
      <c r="L203" s="117"/>
      <c r="M203" s="117">
        <v>4</v>
      </c>
      <c r="N203" s="119"/>
      <c r="O203" s="117"/>
      <c r="P203" s="119">
        <v>4</v>
      </c>
      <c r="Q203" s="117">
        <v>4</v>
      </c>
      <c r="R203" s="117">
        <v>5</v>
      </c>
      <c r="S203" s="270">
        <v>5</v>
      </c>
      <c r="T203" s="270">
        <v>5</v>
      </c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</row>
    <row r="204" spans="3:35" ht="18.75">
      <c r="C204" s="226"/>
      <c r="D204" s="215">
        <v>16</v>
      </c>
      <c r="E204" s="189" t="str">
        <f t="shared" si="2"/>
        <v>Кротков Александр</v>
      </c>
      <c r="F204" s="117"/>
      <c r="G204" s="117"/>
      <c r="H204" s="117"/>
      <c r="I204" s="117">
        <v>3</v>
      </c>
      <c r="J204" s="117"/>
      <c r="K204" s="117">
        <v>3</v>
      </c>
      <c r="L204" s="117"/>
      <c r="M204" s="117">
        <v>3</v>
      </c>
      <c r="N204" s="119" t="s">
        <v>7</v>
      </c>
      <c r="O204" s="117" t="s">
        <v>7</v>
      </c>
      <c r="P204" s="119">
        <v>3</v>
      </c>
      <c r="Q204" s="117"/>
      <c r="R204" s="117">
        <v>3</v>
      </c>
      <c r="S204" s="270">
        <v>2</v>
      </c>
      <c r="T204" s="270">
        <v>3</v>
      </c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</row>
    <row r="205" spans="3:35" ht="18.75">
      <c r="C205" s="226"/>
      <c r="D205" s="215">
        <v>17</v>
      </c>
      <c r="E205" s="189" t="str">
        <f t="shared" si="2"/>
        <v>Кузнецова Екатерина</v>
      </c>
      <c r="F205" s="117">
        <v>3</v>
      </c>
      <c r="G205" s="117"/>
      <c r="H205" s="117"/>
      <c r="I205" s="117"/>
      <c r="J205" s="117">
        <v>5</v>
      </c>
      <c r="K205" s="117"/>
      <c r="L205" s="117">
        <v>4</v>
      </c>
      <c r="M205" s="117"/>
      <c r="N205" s="119">
        <v>4</v>
      </c>
      <c r="O205" s="117"/>
      <c r="P205" s="119">
        <v>3</v>
      </c>
      <c r="Q205" s="117" t="s">
        <v>5</v>
      </c>
      <c r="R205" s="117">
        <v>4</v>
      </c>
      <c r="S205" s="270">
        <v>4</v>
      </c>
      <c r="T205" s="270">
        <v>4</v>
      </c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</row>
    <row r="206" spans="3:35" ht="18.75">
      <c r="C206" s="226"/>
      <c r="D206" s="215">
        <v>18</v>
      </c>
      <c r="E206" s="189" t="str">
        <f t="shared" si="2"/>
        <v>Курило Павел</v>
      </c>
      <c r="F206" s="117">
        <v>3</v>
      </c>
      <c r="G206" s="117"/>
      <c r="H206" s="117"/>
      <c r="I206" s="117">
        <v>2</v>
      </c>
      <c r="J206" s="117"/>
      <c r="K206" s="117">
        <v>2</v>
      </c>
      <c r="L206" s="117" t="s">
        <v>6</v>
      </c>
      <c r="M206" s="117" t="s">
        <v>5</v>
      </c>
      <c r="N206" s="119" t="s">
        <v>5</v>
      </c>
      <c r="O206" s="117"/>
      <c r="P206" s="119">
        <v>3</v>
      </c>
      <c r="Q206" s="117"/>
      <c r="R206" s="117">
        <v>2</v>
      </c>
      <c r="S206" s="270">
        <v>3</v>
      </c>
      <c r="T206" s="270">
        <v>3</v>
      </c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</row>
    <row r="207" spans="3:35" ht="18.75">
      <c r="C207" s="226"/>
      <c r="D207" s="215">
        <v>19</v>
      </c>
      <c r="E207" s="189" t="str">
        <f t="shared" si="2"/>
        <v>Максимкина Татьяна</v>
      </c>
      <c r="F207" s="117"/>
      <c r="G207" s="117">
        <v>2</v>
      </c>
      <c r="H207" s="117"/>
      <c r="I207" s="117">
        <v>2</v>
      </c>
      <c r="J207" s="117">
        <v>2</v>
      </c>
      <c r="K207" s="117"/>
      <c r="L207" s="117">
        <v>2</v>
      </c>
      <c r="M207" s="117"/>
      <c r="N207" s="119">
        <v>2</v>
      </c>
      <c r="O207" s="117"/>
      <c r="P207" s="119">
        <v>2</v>
      </c>
      <c r="Q207" s="117" t="s">
        <v>5</v>
      </c>
      <c r="R207" s="117" t="s">
        <v>5</v>
      </c>
      <c r="S207" s="270" t="s">
        <v>5</v>
      </c>
      <c r="T207" s="270">
        <v>3</v>
      </c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</row>
    <row r="208" spans="3:35" ht="18.75">
      <c r="C208" s="226"/>
      <c r="D208" s="215">
        <v>20</v>
      </c>
      <c r="E208" s="189" t="str">
        <f t="shared" si="2"/>
        <v>Малахова Ксения</v>
      </c>
      <c r="F208" s="117"/>
      <c r="G208" s="117"/>
      <c r="H208" s="117">
        <v>3</v>
      </c>
      <c r="I208" s="117"/>
      <c r="J208" s="117">
        <v>2</v>
      </c>
      <c r="K208" s="117"/>
      <c r="L208" s="117">
        <v>2</v>
      </c>
      <c r="M208" s="117"/>
      <c r="N208" s="119">
        <v>3</v>
      </c>
      <c r="O208" s="117"/>
      <c r="P208" s="119">
        <v>3</v>
      </c>
      <c r="Q208" s="117">
        <v>3</v>
      </c>
      <c r="R208" s="117" t="s">
        <v>5</v>
      </c>
      <c r="S208" s="270" t="s">
        <v>6</v>
      </c>
      <c r="T208" s="270">
        <v>3</v>
      </c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</row>
    <row r="209" spans="3:35" ht="18.75">
      <c r="C209" s="226"/>
      <c r="D209" s="215">
        <v>21</v>
      </c>
      <c r="E209" s="189" t="str">
        <f t="shared" si="2"/>
        <v>Марсуверских Михаил</v>
      </c>
      <c r="F209" s="117"/>
      <c r="G209" s="117">
        <v>2</v>
      </c>
      <c r="H209" s="117"/>
      <c r="I209" s="117">
        <v>3</v>
      </c>
      <c r="J209" s="117"/>
      <c r="K209" s="117">
        <v>2</v>
      </c>
      <c r="L209" s="117"/>
      <c r="M209" s="117">
        <v>2</v>
      </c>
      <c r="N209" s="119"/>
      <c r="O209" s="117">
        <v>3</v>
      </c>
      <c r="P209" s="119">
        <v>1</v>
      </c>
      <c r="Q209" s="117">
        <v>3</v>
      </c>
      <c r="R209" s="117">
        <v>2</v>
      </c>
      <c r="S209" s="270">
        <v>3</v>
      </c>
      <c r="T209" s="270">
        <v>3</v>
      </c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</row>
    <row r="210" spans="3:35" ht="18.75">
      <c r="C210" s="226"/>
      <c r="D210" s="215">
        <v>22</v>
      </c>
      <c r="E210" s="189" t="str">
        <f t="shared" si="2"/>
        <v>Никифоров Алексей</v>
      </c>
      <c r="F210" s="117">
        <v>3</v>
      </c>
      <c r="G210" s="117"/>
      <c r="H210" s="119"/>
      <c r="I210" s="117">
        <v>2</v>
      </c>
      <c r="J210" s="117"/>
      <c r="K210" s="117">
        <v>4</v>
      </c>
      <c r="L210" s="117"/>
      <c r="M210" s="117">
        <v>4</v>
      </c>
      <c r="N210" s="119">
        <v>5</v>
      </c>
      <c r="O210" s="117"/>
      <c r="P210" s="119">
        <v>3</v>
      </c>
      <c r="Q210" s="117" t="s">
        <v>7</v>
      </c>
      <c r="R210" s="117" t="s">
        <v>7</v>
      </c>
      <c r="S210" s="270" t="s">
        <v>7</v>
      </c>
      <c r="T210" s="270">
        <v>2</v>
      </c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</row>
    <row r="211" spans="3:35" ht="18.75">
      <c r="C211" s="226"/>
      <c r="D211" s="215">
        <v>23</v>
      </c>
      <c r="E211" s="189" t="str">
        <f t="shared" si="2"/>
        <v>Панченко Олеся</v>
      </c>
      <c r="F211" s="117"/>
      <c r="G211" s="117"/>
      <c r="H211" s="117">
        <v>3</v>
      </c>
      <c r="I211" s="117"/>
      <c r="J211" s="117"/>
      <c r="K211" s="117" t="s">
        <v>7</v>
      </c>
      <c r="L211" s="117">
        <v>3</v>
      </c>
      <c r="M211" s="117">
        <v>2</v>
      </c>
      <c r="N211" s="119">
        <v>3</v>
      </c>
      <c r="O211" s="117"/>
      <c r="P211" s="119">
        <v>2</v>
      </c>
      <c r="Q211" s="117" t="s">
        <v>6</v>
      </c>
      <c r="R211" s="117">
        <v>1</v>
      </c>
      <c r="S211" s="270">
        <v>3</v>
      </c>
      <c r="T211" s="270">
        <v>3</v>
      </c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</row>
    <row r="212" spans="3:35" ht="18.75">
      <c r="C212" s="226"/>
      <c r="D212" s="215">
        <v>24</v>
      </c>
      <c r="E212" s="189" t="str">
        <f t="shared" si="2"/>
        <v>Перцев Владимир</v>
      </c>
      <c r="F212" s="117"/>
      <c r="G212" s="117"/>
      <c r="H212" s="119">
        <v>4</v>
      </c>
      <c r="I212" s="117"/>
      <c r="J212" s="117">
        <v>4</v>
      </c>
      <c r="K212" s="117">
        <v>2</v>
      </c>
      <c r="L212" s="117"/>
      <c r="M212" s="117">
        <v>2</v>
      </c>
      <c r="N212" s="119">
        <v>3</v>
      </c>
      <c r="O212" s="117"/>
      <c r="P212" s="119">
        <v>3</v>
      </c>
      <c r="Q212" s="117"/>
      <c r="R212" s="117">
        <v>3</v>
      </c>
      <c r="S212" s="270">
        <v>3</v>
      </c>
      <c r="T212" s="270">
        <v>3</v>
      </c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</row>
    <row r="213" spans="3:35" ht="18.75">
      <c r="C213" s="226"/>
      <c r="D213" s="215">
        <v>25</v>
      </c>
      <c r="E213" s="189" t="str">
        <f t="shared" si="2"/>
        <v>Плешивцев Виталий</v>
      </c>
      <c r="F213" s="117">
        <v>4</v>
      </c>
      <c r="G213" s="119"/>
      <c r="H213" s="119">
        <v>3</v>
      </c>
      <c r="I213" s="117">
        <v>3</v>
      </c>
      <c r="J213" s="117">
        <v>2</v>
      </c>
      <c r="K213" s="117" t="s">
        <v>6</v>
      </c>
      <c r="L213" s="117" t="s">
        <v>6</v>
      </c>
      <c r="M213" s="117"/>
      <c r="N213" s="119"/>
      <c r="O213" s="117"/>
      <c r="P213" s="119">
        <v>3</v>
      </c>
      <c r="Q213" s="117" t="s">
        <v>6</v>
      </c>
      <c r="R213" s="117" t="s">
        <v>6</v>
      </c>
      <c r="S213" s="270" t="s">
        <v>6</v>
      </c>
      <c r="T213" s="270">
        <v>3</v>
      </c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</row>
    <row r="214" spans="3:35" ht="18.75">
      <c r="C214" s="226"/>
      <c r="D214" s="215">
        <v>26</v>
      </c>
      <c r="E214" s="189" t="str">
        <f t="shared" si="2"/>
        <v>Савинов Александр</v>
      </c>
      <c r="F214" s="117"/>
      <c r="G214" s="117"/>
      <c r="H214" s="119">
        <v>5</v>
      </c>
      <c r="I214" s="117"/>
      <c r="J214" s="117">
        <v>5</v>
      </c>
      <c r="K214" s="117"/>
      <c r="L214" s="117">
        <v>5</v>
      </c>
      <c r="M214" s="117">
        <v>4</v>
      </c>
      <c r="N214" s="119" t="s">
        <v>5</v>
      </c>
      <c r="O214" s="117" t="s">
        <v>7</v>
      </c>
      <c r="P214" s="119" t="s">
        <v>7</v>
      </c>
      <c r="Q214" s="117"/>
      <c r="R214" s="117"/>
      <c r="S214" s="270" t="s">
        <v>6</v>
      </c>
      <c r="T214" s="270">
        <v>3</v>
      </c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</row>
    <row r="215" spans="3:35" ht="18.75">
      <c r="C215" s="226"/>
      <c r="D215" s="215">
        <v>27</v>
      </c>
      <c r="E215" s="189" t="str">
        <f t="shared" si="2"/>
        <v>Фадеева Виктория</v>
      </c>
      <c r="F215" s="117"/>
      <c r="G215" s="119"/>
      <c r="H215" s="119"/>
      <c r="I215" s="117">
        <v>2</v>
      </c>
      <c r="J215" s="117">
        <v>3</v>
      </c>
      <c r="K215" s="117"/>
      <c r="L215" s="117">
        <v>2</v>
      </c>
      <c r="M215" s="117"/>
      <c r="N215" s="119">
        <v>2</v>
      </c>
      <c r="O215" s="117"/>
      <c r="P215" s="119">
        <v>3</v>
      </c>
      <c r="Q215" s="117"/>
      <c r="R215" s="117">
        <v>4</v>
      </c>
      <c r="S215" s="270">
        <v>3</v>
      </c>
      <c r="T215" s="270">
        <v>4</v>
      </c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</row>
    <row r="216" spans="3:35" ht="18.75">
      <c r="C216" s="226"/>
      <c r="D216" s="215">
        <v>28</v>
      </c>
      <c r="E216" s="189" t="str">
        <f t="shared" si="2"/>
        <v>Шестопалова Алёна</v>
      </c>
      <c r="F216" s="117"/>
      <c r="G216" s="117">
        <v>2</v>
      </c>
      <c r="H216" s="117"/>
      <c r="I216" s="117"/>
      <c r="J216" s="117">
        <v>3</v>
      </c>
      <c r="K216" s="117"/>
      <c r="L216" s="117" t="s">
        <v>6</v>
      </c>
      <c r="M216" s="117"/>
      <c r="N216" s="119"/>
      <c r="O216" s="117"/>
      <c r="P216" s="119">
        <v>3</v>
      </c>
      <c r="Q216" s="117">
        <v>3</v>
      </c>
      <c r="R216" s="117">
        <v>2</v>
      </c>
      <c r="S216" s="270">
        <v>2</v>
      </c>
      <c r="T216" s="270">
        <v>3</v>
      </c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</row>
    <row r="217" spans="3:35" s="217" customFormat="1" ht="18.75">
      <c r="C217" s="226" t="s">
        <v>255</v>
      </c>
      <c r="D217" s="218">
        <v>29</v>
      </c>
      <c r="E217" s="189" t="str">
        <f t="shared" si="2"/>
        <v>Егоров Иван</v>
      </c>
      <c r="F217" s="119"/>
      <c r="G217" s="119"/>
      <c r="H217" s="119"/>
      <c r="I217" s="119"/>
      <c r="J217" s="119">
        <v>4</v>
      </c>
      <c r="K217" s="119"/>
      <c r="L217" s="119"/>
      <c r="M217" s="119">
        <v>4</v>
      </c>
      <c r="N217" s="119"/>
      <c r="O217" s="119">
        <v>5</v>
      </c>
      <c r="P217" s="119"/>
      <c r="Q217" s="119"/>
      <c r="R217" s="119">
        <v>5</v>
      </c>
      <c r="S217" s="270">
        <v>4</v>
      </c>
      <c r="T217" s="270">
        <v>4</v>
      </c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</row>
    <row r="218" spans="3:35" s="217" customFormat="1" ht="18.75">
      <c r="C218" s="226" t="s">
        <v>257</v>
      </c>
      <c r="D218" s="218">
        <v>30</v>
      </c>
      <c r="E218" s="189" t="str">
        <f t="shared" si="2"/>
        <v>Степанов Олег</v>
      </c>
      <c r="F218" s="117">
        <v>4</v>
      </c>
      <c r="G218" s="117"/>
      <c r="H218" s="117">
        <v>4</v>
      </c>
      <c r="I218" s="117"/>
      <c r="J218" s="117">
        <v>3</v>
      </c>
      <c r="K218" s="117"/>
      <c r="L218" s="117">
        <v>2</v>
      </c>
      <c r="M218" s="117"/>
      <c r="N218" s="119"/>
      <c r="O218" s="117">
        <v>4</v>
      </c>
      <c r="P218" s="119">
        <v>3</v>
      </c>
      <c r="Q218" s="117"/>
      <c r="R218" s="117">
        <v>3</v>
      </c>
      <c r="S218" s="270">
        <v>4</v>
      </c>
      <c r="T218" s="270">
        <v>2</v>
      </c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</row>
    <row r="219" spans="3:35" ht="18.75">
      <c r="C219" s="226" t="s">
        <v>257</v>
      </c>
      <c r="D219" s="218">
        <v>31</v>
      </c>
      <c r="E219" s="189" t="str">
        <f t="shared" si="2"/>
        <v>Сидоров Глеб</v>
      </c>
      <c r="F219" s="117"/>
      <c r="G219" s="117">
        <v>3</v>
      </c>
      <c r="H219" s="117"/>
      <c r="I219" s="117">
        <v>3</v>
      </c>
      <c r="J219" s="117"/>
      <c r="K219" s="117">
        <v>4</v>
      </c>
      <c r="L219" s="117"/>
      <c r="M219" s="117"/>
      <c r="N219" s="119">
        <v>2</v>
      </c>
      <c r="O219" s="117"/>
      <c r="P219" s="119"/>
      <c r="Q219" s="117">
        <v>1</v>
      </c>
      <c r="R219" s="117"/>
      <c r="S219" s="270">
        <v>3</v>
      </c>
      <c r="T219" s="270">
        <v>3</v>
      </c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</row>
    <row r="220" spans="3:35" ht="18.75">
      <c r="C220" s="226" t="s">
        <v>257</v>
      </c>
      <c r="D220" s="215">
        <v>32</v>
      </c>
      <c r="E220" s="189" t="s">
        <v>260</v>
      </c>
      <c r="F220" s="117"/>
      <c r="G220" s="117"/>
      <c r="H220" s="117"/>
      <c r="I220" s="117"/>
      <c r="J220" s="117">
        <v>3</v>
      </c>
      <c r="K220" s="117"/>
      <c r="L220" s="117">
        <v>3</v>
      </c>
      <c r="M220" s="117"/>
      <c r="N220" s="119">
        <v>3</v>
      </c>
      <c r="O220" s="117"/>
      <c r="P220" s="119">
        <v>3</v>
      </c>
      <c r="Q220" s="117"/>
      <c r="R220" s="117">
        <v>3</v>
      </c>
      <c r="S220" s="270">
        <v>2</v>
      </c>
      <c r="T220" s="270">
        <v>3</v>
      </c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</row>
    <row r="221" spans="3:35" ht="18.75">
      <c r="C221" s="226" t="s">
        <v>257</v>
      </c>
      <c r="D221" s="215">
        <v>33</v>
      </c>
      <c r="E221" s="189" t="s">
        <v>261</v>
      </c>
      <c r="F221" s="117"/>
      <c r="G221" s="117"/>
      <c r="H221" s="117"/>
      <c r="I221" s="117">
        <v>4</v>
      </c>
      <c r="J221" s="117"/>
      <c r="K221" s="117">
        <v>5</v>
      </c>
      <c r="L221" s="117">
        <v>4</v>
      </c>
      <c r="M221" s="117"/>
      <c r="N221" s="119">
        <v>5</v>
      </c>
      <c r="O221" s="117"/>
      <c r="P221" s="119">
        <v>4</v>
      </c>
      <c r="Q221" s="117">
        <v>3</v>
      </c>
      <c r="R221" s="117"/>
      <c r="S221" s="270">
        <v>4</v>
      </c>
      <c r="T221" s="270">
        <v>5</v>
      </c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</row>
    <row r="222" spans="3:35" ht="18.75">
      <c r="C222" s="226" t="s">
        <v>257</v>
      </c>
      <c r="D222" s="215">
        <v>34</v>
      </c>
      <c r="E222" s="189" t="s">
        <v>258</v>
      </c>
      <c r="F222" s="117">
        <v>3</v>
      </c>
      <c r="G222" s="117"/>
      <c r="H222" s="117">
        <v>3</v>
      </c>
      <c r="I222" s="117"/>
      <c r="J222" s="117">
        <v>3</v>
      </c>
      <c r="K222" s="117"/>
      <c r="L222" s="117">
        <v>2</v>
      </c>
      <c r="M222" s="117"/>
      <c r="N222" s="119">
        <v>4</v>
      </c>
      <c r="O222" s="117"/>
      <c r="P222" s="119">
        <v>5</v>
      </c>
      <c r="Q222" s="117"/>
      <c r="R222" s="117">
        <v>3</v>
      </c>
      <c r="S222" s="270"/>
      <c r="T222" s="270">
        <v>3</v>
      </c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</row>
    <row r="223" spans="3:35" ht="19.5" thickBot="1">
      <c r="C223" s="233"/>
      <c r="D223" s="215">
        <v>35</v>
      </c>
      <c r="E223" s="268">
        <f t="shared" si="2"/>
      </c>
      <c r="F223" s="269"/>
      <c r="G223" s="269"/>
      <c r="H223" s="269"/>
      <c r="I223" s="269"/>
      <c r="J223" s="269"/>
      <c r="K223" s="269"/>
      <c r="L223" s="269"/>
      <c r="M223" s="269"/>
      <c r="N223" s="273"/>
      <c r="O223" s="269"/>
      <c r="P223" s="273"/>
      <c r="Q223" s="269"/>
      <c r="R223" s="269"/>
      <c r="S223" s="270"/>
      <c r="T223" s="270"/>
      <c r="U223" s="269"/>
      <c r="V223" s="269"/>
      <c r="W223" s="269"/>
      <c r="X223" s="269"/>
      <c r="Y223" s="269"/>
      <c r="Z223" s="269"/>
      <c r="AA223" s="269"/>
      <c r="AB223" s="269"/>
      <c r="AC223" s="269"/>
      <c r="AD223" s="269"/>
      <c r="AE223" s="269"/>
      <c r="AF223" s="269"/>
      <c r="AG223" s="269"/>
      <c r="AH223" s="269"/>
      <c r="AI223" s="269"/>
    </row>
    <row r="224" spans="3:35" ht="100.5" customHeight="1" thickBot="1" thickTop="1">
      <c r="C224" s="231"/>
      <c r="D224" s="234">
        <f>COUNTA(E189:E223)-COUNTBLANK(E189:E223)-COUNTIF(C189:C223,"-")</f>
        <v>31</v>
      </c>
      <c r="E224" s="271" t="s">
        <v>69</v>
      </c>
      <c r="F224" s="272" t="s">
        <v>165</v>
      </c>
      <c r="G224" s="272" t="s">
        <v>166</v>
      </c>
      <c r="H224" s="272" t="s">
        <v>186</v>
      </c>
      <c r="I224" s="272" t="s">
        <v>167</v>
      </c>
      <c r="J224" s="272" t="s">
        <v>168</v>
      </c>
      <c r="K224" s="272" t="s">
        <v>169</v>
      </c>
      <c r="L224" s="272" t="s">
        <v>170</v>
      </c>
      <c r="M224" s="272" t="s">
        <v>171</v>
      </c>
      <c r="N224" s="272" t="s">
        <v>172</v>
      </c>
      <c r="O224" s="272" t="s">
        <v>173</v>
      </c>
      <c r="P224" s="272" t="s">
        <v>174</v>
      </c>
      <c r="Q224" s="272" t="s">
        <v>175</v>
      </c>
      <c r="R224" s="272" t="s">
        <v>205</v>
      </c>
      <c r="S224" s="272"/>
      <c r="T224" s="272"/>
      <c r="U224" s="272"/>
      <c r="V224" s="272"/>
      <c r="W224" s="272"/>
      <c r="X224" s="272"/>
      <c r="Y224" s="272"/>
      <c r="Z224" s="272"/>
      <c r="AA224" s="272"/>
      <c r="AB224" s="272"/>
      <c r="AC224" s="272"/>
      <c r="AD224" s="272"/>
      <c r="AE224" s="272"/>
      <c r="AF224" s="272"/>
      <c r="AG224" s="272"/>
      <c r="AH224" s="272"/>
      <c r="AI224" s="272"/>
    </row>
    <row r="225" ht="18.75" customHeight="1" thickTop="1"/>
  </sheetData>
  <sheetProtection selectLockedCells="1"/>
  <mergeCells count="18">
    <mergeCell ref="G4:T4"/>
    <mergeCell ref="G124:T124"/>
    <mergeCell ref="C65:C68"/>
    <mergeCell ref="C125:C128"/>
    <mergeCell ref="G123:H123"/>
    <mergeCell ref="I123:L123"/>
    <mergeCell ref="C5:C8"/>
    <mergeCell ref="G63:H63"/>
    <mergeCell ref="G184:T184"/>
    <mergeCell ref="C185:C188"/>
    <mergeCell ref="H2:I2"/>
    <mergeCell ref="K2:L2"/>
    <mergeCell ref="N2:P2"/>
    <mergeCell ref="G183:H183"/>
    <mergeCell ref="I183:L183"/>
    <mergeCell ref="I63:L63"/>
    <mergeCell ref="G3:H3"/>
    <mergeCell ref="I3:L3"/>
  </mergeCells>
  <conditionalFormatting sqref="E189:E223">
    <cfRule type="expression" priority="1" dxfId="0" stopIfTrue="1">
      <formula>C189="-"</formula>
    </cfRule>
    <cfRule type="expression" priority="2" dxfId="1" stopIfTrue="1">
      <formula>C189="+"</formula>
    </cfRule>
  </conditionalFormatting>
  <conditionalFormatting sqref="F189:F223 F10:F43">
    <cfRule type="expression" priority="3" dxfId="0" stopIfTrue="1">
      <formula>C10="-"</formula>
    </cfRule>
    <cfRule type="expression" priority="4" dxfId="1" stopIfTrue="1">
      <formula>C10="+"</formula>
    </cfRule>
  </conditionalFormatting>
  <conditionalFormatting sqref="G9:G43 G189:G223">
    <cfRule type="expression" priority="5" dxfId="0" stopIfTrue="1">
      <formula>C9="-"</formula>
    </cfRule>
    <cfRule type="expression" priority="6" dxfId="1" stopIfTrue="1">
      <formula>C9="+"</formula>
    </cfRule>
  </conditionalFormatting>
  <conditionalFormatting sqref="H9:AI43 H189:R223 U189:AI223">
    <cfRule type="expression" priority="7" dxfId="0" stopIfTrue="1">
      <formula>$C9="-"</formula>
    </cfRule>
    <cfRule type="expression" priority="8" dxfId="1" stopIfTrue="1">
      <formula>$C9="+"</formula>
    </cfRule>
  </conditionalFormatting>
  <conditionalFormatting sqref="C9:C43 C69:C103 C129:C163 C189:C223">
    <cfRule type="cellIs" priority="9" dxfId="0" operator="equal" stopIfTrue="1">
      <formula>"-"</formula>
    </cfRule>
    <cfRule type="cellIs" priority="10" dxfId="1" operator="equal" stopIfTrue="1">
      <formula>"+"</formula>
    </cfRule>
  </conditionalFormatting>
  <conditionalFormatting sqref="E9:E43 E69:E103">
    <cfRule type="expression" priority="11" dxfId="0" stopIfTrue="1">
      <formula>C9="-"</formula>
    </cfRule>
    <cfRule type="expression" priority="12" dxfId="1" stopIfTrue="1">
      <formula>C9="+"</formula>
    </cfRule>
  </conditionalFormatting>
  <conditionalFormatting sqref="F9">
    <cfRule type="expression" priority="13" dxfId="0" stopIfTrue="1">
      <formula>C9="-"</formula>
    </cfRule>
    <cfRule type="expression" priority="14" dxfId="1" stopIfTrue="1">
      <formula>C9="+"</formula>
    </cfRule>
  </conditionalFormatting>
  <conditionalFormatting sqref="F69:AI103 E129:AI163 S189:T223">
    <cfRule type="expression" priority="15" dxfId="0" stopIfTrue="1">
      <formula>$C69="-"</formula>
    </cfRule>
    <cfRule type="expression" priority="16" dxfId="1" stopIfTrue="1">
      <formula>$C69="+"</formula>
    </cfRule>
  </conditionalFormatting>
  <dataValidations count="1">
    <dataValidation type="list" allowBlank="1" showInputMessage="1" showErrorMessage="1" sqref="H189:IV223 F69:IV103 F129:IV163 F9:IV43">
      <formula1>"1,2,3,4,5,н,н/у,н/б"</formula1>
    </dataValidation>
  </dataValidations>
  <hyperlinks>
    <hyperlink ref="E6" location="Статистика!A6" display="Статистика"/>
    <hyperlink ref="E66" location="Статистика!A66" display="Статистика"/>
    <hyperlink ref="E126" location="Статистика!A126" display="Статистика"/>
    <hyperlink ref="E186" location="Статистика!A186" display="Статистика"/>
  </hyperlinks>
  <printOptions horizontalCentered="1" verticalCentered="1"/>
  <pageMargins left="0.984251968503937" right="0.3937007874015748" top="0.36" bottom="0.36" header="0.25" footer="0.22"/>
  <pageSetup horizontalDpi="600" verticalDpi="600" orientation="landscape" paperSize="9" scale="50" r:id="rId1"/>
  <rowBreaks count="3" manualBreakCount="3">
    <brk id="45" min="2" max="26" man="1"/>
    <brk id="105" min="2" max="26" man="1"/>
    <brk id="165" min="2" max="26" man="1"/>
  </rowBreaks>
  <ignoredErrors>
    <ignoredError sqref="E223 E160:E163 E99:E103 E70:E97 E129:E158 E189:E2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51"/>
  </sheetPr>
  <dimension ref="A1:AB297"/>
  <sheetViews>
    <sheetView zoomScale="75" zoomScaleNormal="75" workbookViewId="0" topLeftCell="A4">
      <selection activeCell="F6" sqref="F6"/>
    </sheetView>
  </sheetViews>
  <sheetFormatPr defaultColWidth="9.00390625" defaultRowHeight="12.75"/>
  <cols>
    <col min="1" max="1" width="4.00390625" style="1" bestFit="1" customWidth="1"/>
    <col min="2" max="2" width="5.875" style="0" bestFit="1" customWidth="1"/>
    <col min="3" max="3" width="5.00390625" style="0" bestFit="1" customWidth="1"/>
    <col min="4" max="4" width="6.00390625" style="0" bestFit="1" customWidth="1"/>
    <col min="5" max="5" width="31.25390625" style="0" bestFit="1" customWidth="1"/>
    <col min="6" max="6" width="15.375" style="0" bestFit="1" customWidth="1"/>
    <col min="7" max="7" width="9.375" style="0" bestFit="1" customWidth="1"/>
    <col min="8" max="8" width="12.00390625" style="0" bestFit="1" customWidth="1"/>
    <col min="9" max="9" width="11.125" style="0" bestFit="1" customWidth="1"/>
    <col min="10" max="10" width="14.00390625" style="0" bestFit="1" customWidth="1"/>
    <col min="11" max="11" width="5.25390625" style="0" bestFit="1" customWidth="1"/>
    <col min="12" max="12" width="4.875" style="0" customWidth="1"/>
    <col min="13" max="13" width="6.00390625" style="0" customWidth="1"/>
    <col min="14" max="14" width="4.875" style="0" bestFit="1" customWidth="1"/>
    <col min="15" max="15" width="4.875" style="0" customWidth="1"/>
    <col min="16" max="17" width="10.625" style="0" bestFit="1" customWidth="1"/>
    <col min="18" max="18" width="6.875" style="0" bestFit="1" customWidth="1"/>
    <col min="19" max="19" width="8.375" style="0" bestFit="1" customWidth="1"/>
    <col min="20" max="20" width="11.625" style="1" bestFit="1" customWidth="1"/>
    <col min="21" max="21" width="11.00390625" style="0" bestFit="1" customWidth="1"/>
    <col min="22" max="22" width="18.25390625" style="0" bestFit="1" customWidth="1"/>
    <col min="23" max="23" width="24.125" style="0" bestFit="1" customWidth="1"/>
    <col min="24" max="24" width="29.375" style="0" customWidth="1"/>
  </cols>
  <sheetData>
    <row r="1" spans="1:24" ht="12.75" hidden="1">
      <c r="A1" s="45"/>
      <c r="B1" s="1"/>
      <c r="C1" s="45"/>
      <c r="D1" s="1"/>
      <c r="E1" s="45"/>
      <c r="F1" s="1"/>
      <c r="G1" s="45"/>
      <c r="H1" s="1"/>
      <c r="I1" s="45"/>
      <c r="J1" s="1"/>
      <c r="K1" s="45"/>
      <c r="L1" s="1"/>
      <c r="M1" s="45"/>
      <c r="N1" s="1"/>
      <c r="O1" s="45"/>
      <c r="P1" s="1"/>
      <c r="Q1" s="45"/>
      <c r="R1" s="1"/>
      <c r="S1" s="45"/>
      <c r="U1" s="45"/>
      <c r="V1" s="1"/>
      <c r="W1" s="45"/>
      <c r="X1" s="1"/>
    </row>
    <row r="2" spans="1:23" ht="20.25" hidden="1">
      <c r="A2" s="45"/>
      <c r="B2" s="1"/>
      <c r="C2" s="1"/>
      <c r="D2" s="1"/>
      <c r="E2" s="1"/>
      <c r="F2" s="1"/>
      <c r="G2" s="133"/>
      <c r="H2" s="133"/>
      <c r="I2" s="133"/>
      <c r="J2" s="133"/>
      <c r="K2" s="133"/>
      <c r="L2" s="133"/>
      <c r="M2" s="133"/>
      <c r="N2" s="133"/>
      <c r="O2" s="133"/>
      <c r="P2" s="1"/>
      <c r="Q2" s="1"/>
      <c r="R2" s="1"/>
      <c r="S2" s="1"/>
      <c r="U2" s="1"/>
      <c r="V2" s="1"/>
      <c r="W2" s="1"/>
    </row>
    <row r="3" spans="1:23" ht="12.75" hidden="1">
      <c r="A3" s="4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U3" s="1"/>
      <c r="V3" s="1"/>
      <c r="W3" s="1"/>
    </row>
    <row r="4" spans="1:23" ht="18.75" thickBot="1">
      <c r="A4" s="45"/>
      <c r="B4" s="5"/>
      <c r="C4" s="6"/>
      <c r="D4" s="5"/>
      <c r="E4" s="44"/>
      <c r="F4" s="5"/>
      <c r="G4" s="5"/>
      <c r="H4" s="5"/>
      <c r="I4" s="5"/>
      <c r="J4" s="5"/>
      <c r="K4" s="6"/>
      <c r="L4" s="5"/>
      <c r="M4" s="5"/>
      <c r="N4" s="5"/>
      <c r="O4" s="6"/>
      <c r="P4" s="5"/>
      <c r="Q4" s="1"/>
      <c r="R4" s="1"/>
      <c r="S4" s="1"/>
      <c r="U4" s="1"/>
      <c r="V4" s="1"/>
      <c r="W4" s="1"/>
    </row>
    <row r="5" spans="1:24" ht="40.5" customHeight="1" thickBot="1" thickTop="1">
      <c r="A5" s="45"/>
      <c r="B5" s="280">
        <f>SUM(F9:F43)/(COUNT(F9:F43)-COUNTIF(F9:F43,0))</f>
        <v>6.888888888888889</v>
      </c>
      <c r="C5" s="348" t="s">
        <v>221</v>
      </c>
      <c r="D5" s="48"/>
      <c r="E5" s="75" t="s">
        <v>214</v>
      </c>
      <c r="F5" s="76" t="s">
        <v>215</v>
      </c>
      <c r="G5" s="77" t="s">
        <v>213</v>
      </c>
      <c r="H5" s="324" t="s">
        <v>216</v>
      </c>
      <c r="I5" s="325"/>
      <c r="J5" s="114">
        <v>28</v>
      </c>
      <c r="K5" s="324" t="s">
        <v>217</v>
      </c>
      <c r="L5" s="340"/>
      <c r="M5" s="340"/>
      <c r="N5" s="79">
        <f>COUNTIF(A9:A43,1)</f>
        <v>1</v>
      </c>
      <c r="O5" s="324" t="s">
        <v>218</v>
      </c>
      <c r="P5" s="340"/>
      <c r="Q5" s="79">
        <f>COUNTIF(A9:A43,-1)</f>
        <v>2</v>
      </c>
      <c r="R5" s="341" t="s">
        <v>223</v>
      </c>
      <c r="S5" s="342"/>
      <c r="T5" s="79">
        <f>J5+N5-Q5</f>
        <v>27</v>
      </c>
      <c r="U5" s="1"/>
      <c r="V5" s="70"/>
      <c r="W5" s="70"/>
      <c r="X5" s="1"/>
    </row>
    <row r="6" spans="1:24" ht="20.25" customHeight="1" thickBot="1" thickTop="1">
      <c r="A6" s="45"/>
      <c r="B6" s="345" t="s">
        <v>220</v>
      </c>
      <c r="C6" s="349"/>
      <c r="D6" s="9"/>
      <c r="E6" s="10">
        <f ca="1">NOW()</f>
        <v>39252.58940462963</v>
      </c>
      <c r="F6" s="11" t="s">
        <v>224</v>
      </c>
      <c r="G6" s="343" t="s">
        <v>201</v>
      </c>
      <c r="H6" s="344"/>
      <c r="I6" s="344"/>
      <c r="J6" s="125">
        <v>8</v>
      </c>
      <c r="K6" s="343" t="s">
        <v>190</v>
      </c>
      <c r="L6" s="344"/>
      <c r="M6" s="344"/>
      <c r="N6" s="344"/>
      <c r="O6" s="125">
        <f>'Классный журнал'!$D$4</f>
        <v>2</v>
      </c>
      <c r="P6" s="339" t="s">
        <v>200</v>
      </c>
      <c r="Q6" s="339"/>
      <c r="R6" s="339"/>
      <c r="S6" s="46">
        <f>COUNT('Классный журнал'!F8:IV8)</f>
        <v>16</v>
      </c>
      <c r="T6" s="34" t="s">
        <v>35</v>
      </c>
      <c r="U6" s="1"/>
      <c r="V6" s="1"/>
      <c r="W6" s="1"/>
      <c r="X6" s="1"/>
    </row>
    <row r="7" spans="2:24" ht="54.75" customHeight="1" thickTop="1">
      <c r="B7" s="346"/>
      <c r="C7" s="349"/>
      <c r="D7" s="16" t="s">
        <v>1</v>
      </c>
      <c r="E7" s="17" t="str">
        <f>'Классный журнал'!E7</f>
        <v>Учащихся   27</v>
      </c>
      <c r="F7" s="17" t="s">
        <v>36</v>
      </c>
      <c r="G7" s="17" t="s">
        <v>37</v>
      </c>
      <c r="H7" s="17" t="s">
        <v>38</v>
      </c>
      <c r="I7" s="17" t="s">
        <v>183</v>
      </c>
      <c r="J7" s="17" t="s">
        <v>184</v>
      </c>
      <c r="K7" s="334" t="s">
        <v>185</v>
      </c>
      <c r="L7" s="335"/>
      <c r="M7" s="335"/>
      <c r="N7" s="335"/>
      <c r="O7" s="336"/>
      <c r="P7" s="334" t="s">
        <v>39</v>
      </c>
      <c r="Q7" s="335"/>
      <c r="R7" s="335"/>
      <c r="S7" s="336"/>
      <c r="T7" s="18" t="s">
        <v>81</v>
      </c>
      <c r="U7" s="1"/>
      <c r="V7" s="70"/>
      <c r="W7" s="5"/>
      <c r="X7" s="1"/>
    </row>
    <row r="8" spans="2:24" ht="24" customHeight="1">
      <c r="B8" s="347"/>
      <c r="C8" s="350"/>
      <c r="D8" s="17">
        <f>35-COUNTBLANK(E9:E43)</f>
        <v>27</v>
      </c>
      <c r="E8" s="17" t="s">
        <v>2</v>
      </c>
      <c r="F8" s="17"/>
      <c r="G8" s="17"/>
      <c r="H8" s="91"/>
      <c r="I8" s="17"/>
      <c r="J8" s="17"/>
      <c r="K8" s="19" t="s">
        <v>40</v>
      </c>
      <c r="L8" s="19" t="s">
        <v>41</v>
      </c>
      <c r="M8" s="19" t="s">
        <v>42</v>
      </c>
      <c r="N8" s="19" t="s">
        <v>43</v>
      </c>
      <c r="O8" s="19" t="s">
        <v>44</v>
      </c>
      <c r="P8" s="20" t="s">
        <v>45</v>
      </c>
      <c r="Q8" s="20" t="s">
        <v>46</v>
      </c>
      <c r="R8" s="20" t="s">
        <v>47</v>
      </c>
      <c r="S8" s="19" t="s">
        <v>48</v>
      </c>
      <c r="T8" s="21"/>
      <c r="V8" s="1"/>
      <c r="W8" s="69" t="s">
        <v>262</v>
      </c>
      <c r="X8" s="1"/>
    </row>
    <row r="9" spans="1:24" ht="24" customHeight="1">
      <c r="A9" s="281">
        <f>IF(AND('Классный журнал'!C9="-",'Классный журнал'!D9&lt;=$J$5),-1,IF(AND('Классный журнал'!C9="-",'Классный журнал'!D9&gt;$J$5),"x",IF('Классный журнал'!C9="+",1,0)))</f>
        <v>0</v>
      </c>
      <c r="B9" s="126">
        <f>IF(E9="","",IF(ROUND($B$5,0)&lt;=F9,"",IF(ROUND($B$5,0)-F9=1,"x","XX")))</f>
      </c>
      <c r="C9" s="126">
        <f>IF(E9="","",IF(H9&lt;2.5,"!",""))</f>
      </c>
      <c r="D9" s="22">
        <v>1</v>
      </c>
      <c r="E9" s="50" t="str">
        <f>IF('Классный журнал'!E9="","",IF(OR(A9=-1,A9="x"),"",IF(A9=1,'Классный журнал'!E9,'Классный журнал'!E9)))</f>
        <v>Алексеева Настя</v>
      </c>
      <c r="F9" s="19">
        <f>IF(E9="",0,SUM(K9:O9))</f>
        <v>7</v>
      </c>
      <c r="G9" s="19">
        <f>IF(E9="",0,SUM(K9*5,L9*4,M9*3,N9*2,O9))</f>
        <v>29</v>
      </c>
      <c r="H9" s="23">
        <f>IF(E9="","",G9/F9)</f>
        <v>4.142857142857143</v>
      </c>
      <c r="I9" s="24">
        <f>IF(E9="","",RANK(H9,$H$9:$H$43,0))</f>
        <v>4</v>
      </c>
      <c r="J9" s="24">
        <f>IF(E9="","",RANK(H9,$H$9:$H$43,0))</f>
        <v>4</v>
      </c>
      <c r="K9" s="19">
        <f>IF(E9="","",COUNTIF('Классный журнал'!F9:IV9,5))</f>
        <v>3</v>
      </c>
      <c r="L9" s="19">
        <f>IF(E9="","",COUNTIF('Классный журнал'!F9:IV9,4))</f>
        <v>2</v>
      </c>
      <c r="M9" s="19">
        <f>IF(E9="","",COUNTIF('Классный журнал'!F9:IV9,3))</f>
        <v>2</v>
      </c>
      <c r="N9" s="19">
        <f>IF(E9="","",COUNTIF('Классный журнал'!F9:IV9,2))</f>
        <v>0</v>
      </c>
      <c r="O9" s="19">
        <f>IF(E9="","",COUNTIF('Классный журнал'!F9:IV9,1))</f>
        <v>0</v>
      </c>
      <c r="P9" s="19">
        <f>IF(E9="",0,COUNTIF('Классный журнал'!F9:IV9,"н/б"))</f>
        <v>0</v>
      </c>
      <c r="Q9" s="19">
        <f>IF(E9="",0,COUNTIF('Классный журнал'!F9:IV9,"н/у"))</f>
        <v>0</v>
      </c>
      <c r="R9" s="19">
        <f>IF(E9="",0,COUNTIF('Классный журнал'!F9:IV9,"н"))</f>
        <v>1</v>
      </c>
      <c r="S9" s="19">
        <f>IF(E9="","",SUM(P9:R9))</f>
        <v>1</v>
      </c>
      <c r="T9" s="49">
        <f>IF(E9="","",IF(F9&lt;($O$6*3),"н/а",IF(H9&gt;=4.8,5,IF(AND(3.7&lt;=H9,H9&lt;4.8),4,IF(AND(2.5&lt;=H9,H9&lt;3.7),3,IF(H9=0,"--",2))))))</f>
        <v>4</v>
      </c>
      <c r="V9" s="1"/>
      <c r="W9" s="69"/>
      <c r="X9" s="303" t="s">
        <v>18</v>
      </c>
    </row>
    <row r="10" spans="1:24" ht="24" customHeight="1">
      <c r="A10" s="281">
        <f>IF(AND('Классный журнал'!C10="-",'Классный журнал'!D10&lt;=$J$5),-1,IF(AND('Классный журнал'!C10="-",'Классный журнал'!D10&gt;$J$5),"x",IF('Классный журнал'!C10="+",1,0)))</f>
        <v>0</v>
      </c>
      <c r="B10" s="126">
        <f aca="true" t="shared" si="0" ref="B10:B43">IF(E10="","",IF(ROUND($B$5,0)&lt;=F10,"",IF(ROUND($B$5,0)-F10=1,"x","XX")))</f>
      </c>
      <c r="C10" s="126">
        <f aca="true" t="shared" si="1" ref="C10:C43">IF(E10="","",IF(H10&lt;2.5,"!",""))</f>
      </c>
      <c r="D10" s="22">
        <v>2</v>
      </c>
      <c r="E10" s="50" t="str">
        <f>IF('Классный журнал'!E10="","",IF(OR(A10=-1,A10="x"),"",IF(A10=1,'Классный журнал'!E10,'Классный журнал'!E10)))</f>
        <v>Богоутдинов Данил</v>
      </c>
      <c r="F10" s="19">
        <f aca="true" t="shared" si="2" ref="F10:F43">IF(E10="",0,SUM(K10:O10))</f>
        <v>7</v>
      </c>
      <c r="G10" s="19">
        <f aca="true" t="shared" si="3" ref="G10:G43">IF(E10="",0,SUM(K10*5,L10*4,M10*3,N10*2,O10))</f>
        <v>25</v>
      </c>
      <c r="H10" s="23">
        <f>IF(E10="","",G10/F10)</f>
        <v>3.5714285714285716</v>
      </c>
      <c r="I10" s="24">
        <f aca="true" t="shared" si="4" ref="I10:I43">IF(E10="","",IF(RANK(H10,$H$9:$H$43,0)&gt;$D$8,"-",RANK(H10,$H$9:$H$43,0)))</f>
        <v>9</v>
      </c>
      <c r="J10" s="24">
        <f aca="true" t="shared" si="5" ref="J10:J43">IF(E10="","",RANK(H10,$H$9:$H$43,0))</f>
        <v>9</v>
      </c>
      <c r="K10" s="19">
        <f>IF(E10="","",COUNTIF('Классный журнал'!F10:IV10,5))</f>
        <v>0</v>
      </c>
      <c r="L10" s="19">
        <f>IF(E10="","",COUNTIF('Классный журнал'!F10:IV10,4))</f>
        <v>4</v>
      </c>
      <c r="M10" s="19">
        <f>IF(E10="","",COUNTIF('Классный журнал'!F10:IV10,3))</f>
        <v>3</v>
      </c>
      <c r="N10" s="19">
        <f>IF(E10="","",COUNTIF('Классный журнал'!F10:IV10,2))</f>
        <v>0</v>
      </c>
      <c r="O10" s="19">
        <f>IF(E10="","",COUNTIF('Классный журнал'!F10:IV10,1))</f>
        <v>0</v>
      </c>
      <c r="P10" s="19">
        <f>IF(E10="",0,COUNTIF('Классный журнал'!F10:IV10,"н/б"))</f>
        <v>1</v>
      </c>
      <c r="Q10" s="19">
        <f>IF(E10="",0,COUNTIF('Классный журнал'!F10:IV10,"н/у"))</f>
        <v>1</v>
      </c>
      <c r="R10" s="19">
        <f>IF(E10="",0,COUNTIF('Классный журнал'!F10:IV10,"н"))</f>
        <v>2</v>
      </c>
      <c r="S10" s="19">
        <f aca="true" t="shared" si="6" ref="S10:S43">IF(E10="","",SUM(P10:R10))</f>
        <v>4</v>
      </c>
      <c r="T10" s="49">
        <f aca="true" t="shared" si="7" ref="T10:T43">IF(E10="","",IF(F10&lt;($O$6*3),"н/а",IF(H10&gt;=4.8,5,IF(AND(3.7&lt;=H10,H10&lt;4.8),4,IF(AND(2.5&lt;=H10,H10&lt;3.7),3,IF(H10=0,"--",2))))))</f>
        <v>3</v>
      </c>
      <c r="V10" s="1"/>
      <c r="W10" s="69"/>
      <c r="X10" s="303" t="s">
        <v>29</v>
      </c>
    </row>
    <row r="11" spans="1:24" ht="24" customHeight="1">
      <c r="A11" s="281">
        <f>IF(AND('Классный журнал'!C11="-",'Классный журнал'!D11&lt;=$J$5),-1,IF(AND('Классный журнал'!C11="-",'Классный журнал'!D11&gt;$J$5),"x",IF('Классный журнал'!C11="+",1,0)))</f>
        <v>0</v>
      </c>
      <c r="B11" s="126" t="str">
        <f t="shared" si="0"/>
        <v>x</v>
      </c>
      <c r="C11" s="126">
        <f t="shared" si="1"/>
      </c>
      <c r="D11" s="22">
        <v>3</v>
      </c>
      <c r="E11" s="50" t="str">
        <f>IF('Классный журнал'!E11="","",IF(OR(A11=-1,A11="x"),"",IF(A11=1,'Классный журнал'!E11,'Классный журнал'!E11)))</f>
        <v>Бавеян Рафик</v>
      </c>
      <c r="F11" s="19">
        <f t="shared" si="2"/>
        <v>6</v>
      </c>
      <c r="G11" s="19">
        <f t="shared" si="3"/>
        <v>16</v>
      </c>
      <c r="H11" s="23">
        <f aca="true" t="shared" si="8" ref="H11:H43">IF(E11="","",G11/F11)</f>
        <v>2.6666666666666665</v>
      </c>
      <c r="I11" s="24">
        <f t="shared" si="4"/>
        <v>19</v>
      </c>
      <c r="J11" s="24">
        <f t="shared" si="5"/>
        <v>19</v>
      </c>
      <c r="K11" s="19">
        <f>IF(E11="","",COUNTIF('Классный журнал'!F11:IV11,5))</f>
        <v>1</v>
      </c>
      <c r="L11" s="19">
        <f>IF(E11="","",COUNTIF('Классный журнал'!F11:IV11,4))</f>
        <v>0</v>
      </c>
      <c r="M11" s="19">
        <f>IF(E11="","",COUNTIF('Классный журнал'!F11:IV11,3))</f>
        <v>2</v>
      </c>
      <c r="N11" s="19">
        <f>IF(E11="","",COUNTIF('Классный журнал'!F11:IV11,2))</f>
        <v>2</v>
      </c>
      <c r="O11" s="19">
        <f>IF(E11="","",COUNTIF('Классный журнал'!F11:IV11,1))</f>
        <v>1</v>
      </c>
      <c r="P11" s="19">
        <f>IF(E11="",0,COUNTIF('Классный журнал'!F11:IV11,"н/б"))</f>
        <v>2</v>
      </c>
      <c r="Q11" s="19">
        <f>IF(E11="",0,COUNTIF('Классный журнал'!F11:IV11,"н/у"))</f>
        <v>0</v>
      </c>
      <c r="R11" s="19">
        <f>IF(E11="",0,COUNTIF('Классный журнал'!F11:IV11,"н"))</f>
        <v>2</v>
      </c>
      <c r="S11" s="19">
        <f t="shared" si="6"/>
        <v>4</v>
      </c>
      <c r="T11" s="49">
        <f t="shared" si="7"/>
        <v>3</v>
      </c>
      <c r="V11" s="1"/>
      <c r="W11" s="69" t="s">
        <v>227</v>
      </c>
      <c r="X11" s="303"/>
    </row>
    <row r="12" spans="1:24" ht="24" customHeight="1">
      <c r="A12" s="281">
        <f>IF(AND('Классный журнал'!C12="-",'Классный журнал'!D12&lt;=$J$5),-1,IF(AND('Классный журнал'!C12="-",'Классный журнал'!D12&gt;$J$5),"x",IF('Классный журнал'!C12="+",1,0)))</f>
        <v>0</v>
      </c>
      <c r="B12" s="126">
        <f t="shared" si="0"/>
      </c>
      <c r="C12" s="126">
        <f t="shared" si="1"/>
      </c>
      <c r="D12" s="22">
        <v>4</v>
      </c>
      <c r="E12" s="50" t="str">
        <f>IF('Классный журнал'!E12="","",IF(OR(A12=-1,A12="x"),"",IF(A12=1,'Классный журнал'!E12,'Классный журнал'!E12)))</f>
        <v>Бахметьев Михаил</v>
      </c>
      <c r="F12" s="19">
        <f t="shared" si="2"/>
        <v>9</v>
      </c>
      <c r="G12" s="19">
        <f t="shared" si="3"/>
        <v>27</v>
      </c>
      <c r="H12" s="23">
        <f t="shared" si="8"/>
        <v>3</v>
      </c>
      <c r="I12" s="24">
        <f t="shared" si="4"/>
        <v>13</v>
      </c>
      <c r="J12" s="24">
        <f t="shared" si="5"/>
        <v>13</v>
      </c>
      <c r="K12" s="19">
        <f>IF(E12="","",COUNTIF('Классный журнал'!F12:IV12,5))</f>
        <v>0</v>
      </c>
      <c r="L12" s="19">
        <f>IF(E12="","",COUNTIF('Классный журнал'!F12:IV12,4))</f>
        <v>2</v>
      </c>
      <c r="M12" s="19">
        <f>IF(E12="","",COUNTIF('Классный журнал'!F12:IV12,3))</f>
        <v>5</v>
      </c>
      <c r="N12" s="19">
        <f>IF(E12="","",COUNTIF('Классный журнал'!F12:IV12,2))</f>
        <v>2</v>
      </c>
      <c r="O12" s="19">
        <f>IF(E12="","",COUNTIF('Классный журнал'!F12:IV12,1))</f>
        <v>0</v>
      </c>
      <c r="P12" s="19">
        <f>IF(E12="",0,COUNTIF('Классный журнал'!F12:IV12,"н/б"))</f>
        <v>0</v>
      </c>
      <c r="Q12" s="19">
        <f>IF(E12="",0,COUNTIF('Классный журнал'!F12:IV12,"н/у"))</f>
        <v>0</v>
      </c>
      <c r="R12" s="19">
        <f>IF(E12="",0,COUNTIF('Классный журнал'!F12:IV12,"н"))</f>
        <v>1</v>
      </c>
      <c r="S12" s="19">
        <f t="shared" si="6"/>
        <v>1</v>
      </c>
      <c r="T12" s="49">
        <f t="shared" si="7"/>
        <v>3</v>
      </c>
      <c r="V12" s="1"/>
      <c r="W12" s="69"/>
      <c r="X12" s="303" t="s">
        <v>4</v>
      </c>
    </row>
    <row r="13" spans="1:24" ht="24" customHeight="1">
      <c r="A13" s="281">
        <f>IF(AND('Классный журнал'!C13="-",'Классный журнал'!D13&lt;=$J$5),-1,IF(AND('Классный журнал'!C13="-",'Классный журнал'!D13&gt;$J$5),"x",IF('Классный журнал'!C13="+",1,0)))</f>
        <v>-1</v>
      </c>
      <c r="B13" s="126">
        <f t="shared" si="0"/>
      </c>
      <c r="C13" s="126">
        <f t="shared" si="1"/>
      </c>
      <c r="D13" s="22">
        <v>5</v>
      </c>
      <c r="E13" s="50">
        <f>IF('Классный журнал'!E13="","",IF(OR(A13=-1,A13="x"),"",IF(A13=1,'Классный журнал'!E13,'Классный журнал'!E13)))</f>
      </c>
      <c r="F13" s="19">
        <f t="shared" si="2"/>
        <v>0</v>
      </c>
      <c r="G13" s="19">
        <f t="shared" si="3"/>
        <v>0</v>
      </c>
      <c r="H13" s="23">
        <f t="shared" si="8"/>
      </c>
      <c r="I13" s="24">
        <f t="shared" si="4"/>
      </c>
      <c r="J13" s="24">
        <f t="shared" si="5"/>
      </c>
      <c r="K13" s="19">
        <f>IF(E13="","",COUNTIF('Классный журнал'!F13:IV13,5))</f>
      </c>
      <c r="L13" s="19">
        <f>IF(E13="","",COUNTIF('Классный журнал'!F13:IV13,4))</f>
      </c>
      <c r="M13" s="19">
        <f>IF(E13="","",COUNTIF('Классный журнал'!F13:IV13,3))</f>
      </c>
      <c r="N13" s="19">
        <f>IF(E13="","",COUNTIF('Классный журнал'!F13:IV13,2))</f>
      </c>
      <c r="O13" s="19">
        <f>IF(E13="","",COUNTIF('Классный журнал'!F13:IV13,1))</f>
      </c>
      <c r="P13" s="19">
        <f>IF(E13="",0,COUNTIF('Классный журнал'!F13:IV13,"н/б"))</f>
        <v>0</v>
      </c>
      <c r="Q13" s="19">
        <f>IF(E13="",0,COUNTIF('Классный журнал'!F13:IV13,"н/у"))</f>
        <v>0</v>
      </c>
      <c r="R13" s="19">
        <f>IF(E13="",0,COUNTIF('Классный журнал'!F13:IV13,"н"))</f>
        <v>0</v>
      </c>
      <c r="S13" s="19">
        <f t="shared" si="6"/>
      </c>
      <c r="T13" s="49">
        <f t="shared" si="7"/>
      </c>
      <c r="V13" s="1"/>
      <c r="W13" s="69"/>
      <c r="X13" s="303" t="s">
        <v>12</v>
      </c>
    </row>
    <row r="14" spans="1:24" ht="24" customHeight="1">
      <c r="A14" s="281">
        <f>IF(AND('Классный журнал'!C14="-",'Классный журнал'!D14&lt;=$J$5),-1,IF(AND('Классный журнал'!C14="-",'Классный журнал'!D14&gt;$J$5),"x",IF('Классный журнал'!C14="+",1,0)))</f>
        <v>0</v>
      </c>
      <c r="B14" s="126">
        <f t="shared" si="0"/>
      </c>
      <c r="C14" s="126">
        <f t="shared" si="1"/>
      </c>
      <c r="D14" s="22">
        <v>6</v>
      </c>
      <c r="E14" s="50" t="str">
        <f>IF('Классный журнал'!E14="","",IF(OR(A14=-1,A14="x"),"",IF(A14=1,'Классный журнал'!E14,'Классный журнал'!E14)))</f>
        <v>Валеев Руслан</v>
      </c>
      <c r="F14" s="19">
        <f t="shared" si="2"/>
        <v>8</v>
      </c>
      <c r="G14" s="19">
        <f t="shared" si="3"/>
        <v>26</v>
      </c>
      <c r="H14" s="23">
        <f t="shared" si="8"/>
        <v>3.25</v>
      </c>
      <c r="I14" s="24">
        <f t="shared" si="4"/>
        <v>12</v>
      </c>
      <c r="J14" s="24">
        <f t="shared" si="5"/>
        <v>12</v>
      </c>
      <c r="K14" s="19">
        <f>IF(E14="","",COUNTIF('Классный журнал'!F14:IV14,5))</f>
        <v>1</v>
      </c>
      <c r="L14" s="19">
        <f>IF(E14="","",COUNTIF('Классный журнал'!F14:IV14,4))</f>
        <v>2</v>
      </c>
      <c r="M14" s="19">
        <f>IF(E14="","",COUNTIF('Классный журнал'!F14:IV14,3))</f>
        <v>4</v>
      </c>
      <c r="N14" s="19">
        <f>IF(E14="","",COUNTIF('Классный журнал'!F14:IV14,2))</f>
        <v>0</v>
      </c>
      <c r="O14" s="19">
        <f>IF(E14="","",COUNTIF('Классный журнал'!F14:IV14,1))</f>
        <v>1</v>
      </c>
      <c r="P14" s="19">
        <f>IF(E14="",0,COUNTIF('Классный журнал'!F14:IV14,"н/б"))</f>
        <v>0</v>
      </c>
      <c r="Q14" s="19">
        <f>IF(E14="",0,COUNTIF('Классный журнал'!F14:IV14,"н/у"))</f>
        <v>0</v>
      </c>
      <c r="R14" s="19">
        <f>IF(E14="",0,COUNTIF('Классный журнал'!F14:IV14,"н"))</f>
        <v>3</v>
      </c>
      <c r="S14" s="19">
        <f t="shared" si="6"/>
        <v>3</v>
      </c>
      <c r="T14" s="49">
        <f t="shared" si="7"/>
        <v>3</v>
      </c>
      <c r="V14" s="1"/>
      <c r="W14" s="69"/>
      <c r="X14" s="303" t="s">
        <v>13</v>
      </c>
    </row>
    <row r="15" spans="1:24" ht="24" customHeight="1">
      <c r="A15" s="281">
        <f>IF(AND('Классный журнал'!C15="-",'Классный журнал'!D15&lt;=$J$5),-1,IF(AND('Классный журнал'!C15="-",'Классный журнал'!D15&gt;$J$5),"x",IF('Классный журнал'!C15="+",1,0)))</f>
        <v>0</v>
      </c>
      <c r="B15" s="126">
        <f t="shared" si="0"/>
      </c>
      <c r="C15" s="126" t="str">
        <f t="shared" si="1"/>
        <v>!</v>
      </c>
      <c r="D15" s="22">
        <v>7</v>
      </c>
      <c r="E15" s="50" t="str">
        <f>IF('Классный журнал'!E15="","",IF(OR(A15=-1,A15="x"),"",IF(A15=1,'Классный журнал'!E15,'Классный журнал'!E15)))</f>
        <v>Власов Владимир</v>
      </c>
      <c r="F15" s="19">
        <f t="shared" si="2"/>
        <v>7</v>
      </c>
      <c r="G15" s="19">
        <f t="shared" si="3"/>
        <v>17</v>
      </c>
      <c r="H15" s="23">
        <f t="shared" si="8"/>
        <v>2.4285714285714284</v>
      </c>
      <c r="I15" s="24">
        <f t="shared" si="4"/>
        <v>23</v>
      </c>
      <c r="J15" s="24">
        <f t="shared" si="5"/>
        <v>23</v>
      </c>
      <c r="K15" s="19">
        <f>IF(E15="","",COUNTIF('Классный журнал'!F15:IV15,5))</f>
        <v>0</v>
      </c>
      <c r="L15" s="19">
        <f>IF(E15="","",COUNTIF('Классный журнал'!F15:IV15,4))</f>
        <v>0</v>
      </c>
      <c r="M15" s="19">
        <f>IF(E15="","",COUNTIF('Классный журнал'!F15:IV15,3))</f>
        <v>4</v>
      </c>
      <c r="N15" s="19">
        <f>IF(E15="","",COUNTIF('Классный журнал'!F15:IV15,2))</f>
        <v>2</v>
      </c>
      <c r="O15" s="19">
        <f>IF(E15="","",COUNTIF('Классный журнал'!F15:IV15,1))</f>
        <v>1</v>
      </c>
      <c r="P15" s="19">
        <f>IF(E15="",0,COUNTIF('Классный журнал'!F15:IV15,"н/б"))</f>
        <v>0</v>
      </c>
      <c r="Q15" s="19">
        <f>IF(E15="",0,COUNTIF('Классный журнал'!F15:IV15,"н/у"))</f>
        <v>0</v>
      </c>
      <c r="R15" s="19">
        <f>IF(E15="",0,COUNTIF('Классный журнал'!F15:IV15,"н"))</f>
        <v>1</v>
      </c>
      <c r="S15" s="19">
        <f t="shared" si="6"/>
        <v>1</v>
      </c>
      <c r="T15" s="49">
        <f t="shared" si="7"/>
        <v>2</v>
      </c>
      <c r="V15" s="1"/>
      <c r="W15" s="69"/>
      <c r="X15" s="303" t="s">
        <v>15</v>
      </c>
    </row>
    <row r="16" spans="1:24" ht="24" customHeight="1">
      <c r="A16" s="281">
        <f>IF(AND('Классный журнал'!C16="-",'Классный журнал'!D16&lt;=$J$5),-1,IF(AND('Классный журнал'!C16="-",'Классный журнал'!D16&gt;$J$5),"x",IF('Классный журнал'!C16="+",1,0)))</f>
        <v>0</v>
      </c>
      <c r="B16" s="126" t="str">
        <f t="shared" si="0"/>
        <v>x</v>
      </c>
      <c r="C16" s="126">
        <f t="shared" si="1"/>
      </c>
      <c r="D16" s="22">
        <v>8</v>
      </c>
      <c r="E16" s="50" t="str">
        <f>IF('Классный журнал'!E16="","",IF(OR(A16=-1,A16="x"),"",IF(A16=1,'Классный журнал'!E16,'Классный журнал'!E16)))</f>
        <v>Головина Дарья</v>
      </c>
      <c r="F16" s="19">
        <f t="shared" si="2"/>
        <v>6</v>
      </c>
      <c r="G16" s="19">
        <f t="shared" si="3"/>
        <v>25</v>
      </c>
      <c r="H16" s="23">
        <f t="shared" si="8"/>
        <v>4.166666666666667</v>
      </c>
      <c r="I16" s="24">
        <f t="shared" si="4"/>
        <v>3</v>
      </c>
      <c r="J16" s="24">
        <f t="shared" si="5"/>
        <v>3</v>
      </c>
      <c r="K16" s="19">
        <f>IF(E16="","",COUNTIF('Классный журнал'!F16:IV16,5))</f>
        <v>2</v>
      </c>
      <c r="L16" s="19">
        <f>IF(E16="","",COUNTIF('Классный журнал'!F16:IV16,4))</f>
        <v>3</v>
      </c>
      <c r="M16" s="19">
        <f>IF(E16="","",COUNTIF('Классный журнал'!F16:IV16,3))</f>
        <v>1</v>
      </c>
      <c r="N16" s="19">
        <f>IF(E16="","",COUNTIF('Классный журнал'!F16:IV16,2))</f>
        <v>0</v>
      </c>
      <c r="O16" s="19">
        <f>IF(E16="","",COUNTIF('Классный журнал'!F16:IV16,1))</f>
        <v>0</v>
      </c>
      <c r="P16" s="19">
        <f>IF(E16="",0,COUNTIF('Классный журнал'!F16:IV16,"н/б"))</f>
        <v>0</v>
      </c>
      <c r="Q16" s="19">
        <f>IF(E16="",0,COUNTIF('Классный журнал'!F16:IV16,"н/у"))</f>
        <v>0</v>
      </c>
      <c r="R16" s="19">
        <f>IF(E16="",0,COUNTIF('Классный журнал'!F16:IV16,"н"))</f>
        <v>0</v>
      </c>
      <c r="S16" s="19">
        <f t="shared" si="6"/>
        <v>0</v>
      </c>
      <c r="T16" s="49">
        <f t="shared" si="7"/>
        <v>4</v>
      </c>
      <c r="V16" s="1"/>
      <c r="W16" s="69"/>
      <c r="X16" s="303" t="s">
        <v>20</v>
      </c>
    </row>
    <row r="17" spans="1:24" ht="24" customHeight="1">
      <c r="A17" s="281">
        <f>IF(AND('Классный журнал'!C17="-",'Классный журнал'!D17&lt;=$J$5),-1,IF(AND('Классный журнал'!C17="-",'Классный журнал'!D17&gt;$J$5),"x",IF('Классный журнал'!C17="+",1,0)))</f>
        <v>-1</v>
      </c>
      <c r="B17" s="126">
        <f t="shared" si="0"/>
      </c>
      <c r="C17" s="126">
        <f t="shared" si="1"/>
      </c>
      <c r="D17" s="22">
        <v>9</v>
      </c>
      <c r="E17" s="50">
        <f>IF('Классный журнал'!E17="","",IF(OR(A17=-1,A17="x"),"",IF(A17=1,'Классный журнал'!E17,'Классный журнал'!E17)))</f>
      </c>
      <c r="F17" s="19">
        <f t="shared" si="2"/>
        <v>0</v>
      </c>
      <c r="G17" s="19">
        <f t="shared" si="3"/>
        <v>0</v>
      </c>
      <c r="H17" s="23">
        <f t="shared" si="8"/>
      </c>
      <c r="I17" s="24">
        <f t="shared" si="4"/>
      </c>
      <c r="J17" s="24">
        <f t="shared" si="5"/>
      </c>
      <c r="K17" s="19">
        <f>IF(E17="","",COUNTIF('Классный журнал'!F17:IV17,5))</f>
      </c>
      <c r="L17" s="19">
        <f>IF(E17="","",COUNTIF('Классный журнал'!F17:IV17,4))</f>
      </c>
      <c r="M17" s="19">
        <f>IF(E17="","",COUNTIF('Классный журнал'!F17:IV17,3))</f>
      </c>
      <c r="N17" s="19">
        <f>IF(E17="","",COUNTIF('Классный журнал'!F17:IV17,2))</f>
      </c>
      <c r="O17" s="19">
        <f>IF(E17="","",COUNTIF('Классный журнал'!F17:IV17,1))</f>
      </c>
      <c r="P17" s="19">
        <f>IF(E17="",0,COUNTIF('Классный журнал'!F17:IV17,"н/б"))</f>
        <v>0</v>
      </c>
      <c r="Q17" s="19">
        <f>IF(E17="",0,COUNTIF('Классный журнал'!F17:IV17,"н/у"))</f>
        <v>0</v>
      </c>
      <c r="R17" s="19">
        <f>IF(E17="",0,COUNTIF('Классный журнал'!F17:IV17,"н"))</f>
        <v>0</v>
      </c>
      <c r="S17" s="19">
        <f t="shared" si="6"/>
      </c>
      <c r="T17" s="49">
        <f t="shared" si="7"/>
      </c>
      <c r="V17" s="1"/>
      <c r="W17" s="69" t="s">
        <v>228</v>
      </c>
      <c r="X17" s="303"/>
    </row>
    <row r="18" spans="1:24" ht="24" customHeight="1">
      <c r="A18" s="281">
        <f>IF(AND('Классный журнал'!C18="-",'Классный журнал'!D18&lt;=$J$5),-1,IF(AND('Классный журнал'!C18="-",'Классный журнал'!D18&gt;$J$5),"x",IF('Классный журнал'!C18="+",1,0)))</f>
        <v>0</v>
      </c>
      <c r="B18" s="126">
        <f t="shared" si="0"/>
      </c>
      <c r="C18" s="126">
        <f t="shared" si="1"/>
      </c>
      <c r="D18" s="22">
        <v>10</v>
      </c>
      <c r="E18" s="50" t="str">
        <f>IF('Классный журнал'!E18="","",IF(OR(A18=-1,A18="x"),"",IF(A18=1,'Классный журнал'!E18,'Классный журнал'!E18)))</f>
        <v>Добрынин Павел</v>
      </c>
      <c r="F18" s="19">
        <f t="shared" si="2"/>
        <v>8</v>
      </c>
      <c r="G18" s="19">
        <f t="shared" si="3"/>
        <v>30</v>
      </c>
      <c r="H18" s="23">
        <f t="shared" si="8"/>
        <v>3.75</v>
      </c>
      <c r="I18" s="24">
        <f t="shared" si="4"/>
        <v>6</v>
      </c>
      <c r="J18" s="24">
        <f t="shared" si="5"/>
        <v>6</v>
      </c>
      <c r="K18" s="19">
        <f>IF(E18="","",COUNTIF('Классный журнал'!F18:IV18,5))</f>
        <v>1</v>
      </c>
      <c r="L18" s="19">
        <f>IF(E18="","",COUNTIF('Классный журнал'!F18:IV18,4))</f>
        <v>4</v>
      </c>
      <c r="M18" s="19">
        <f>IF(E18="","",COUNTIF('Классный журнал'!F18:IV18,3))</f>
        <v>3</v>
      </c>
      <c r="N18" s="19">
        <f>IF(E18="","",COUNTIF('Классный журнал'!F18:IV18,2))</f>
        <v>0</v>
      </c>
      <c r="O18" s="19">
        <f>IF(E18="","",COUNTIF('Классный журнал'!F18:IV18,1))</f>
        <v>0</v>
      </c>
      <c r="P18" s="19">
        <f>IF(E18="",0,COUNTIF('Классный журнал'!F18:IV18,"н/б"))</f>
        <v>0</v>
      </c>
      <c r="Q18" s="19">
        <f>IF(E18="",0,COUNTIF('Классный журнал'!F18:IV18,"н/у"))</f>
        <v>0</v>
      </c>
      <c r="R18" s="19">
        <f>IF(E18="",0,COUNTIF('Классный журнал'!F18:IV18,"н"))</f>
        <v>0</v>
      </c>
      <c r="S18" s="19">
        <f t="shared" si="6"/>
        <v>0</v>
      </c>
      <c r="T18" s="49">
        <f t="shared" si="7"/>
        <v>4</v>
      </c>
      <c r="V18" s="1"/>
      <c r="W18" s="69"/>
      <c r="X18" s="303" t="s">
        <v>11</v>
      </c>
    </row>
    <row r="19" spans="1:24" ht="24" customHeight="1">
      <c r="A19" s="281">
        <f>IF(AND('Классный журнал'!C19="-",'Классный журнал'!D19&lt;=$J$5),-1,IF(AND('Классный журнал'!C19="-",'Классный журнал'!D19&gt;$J$5),"x",IF('Классный журнал'!C19="+",1,0)))</f>
        <v>0</v>
      </c>
      <c r="B19" s="126">
        <f t="shared" si="0"/>
      </c>
      <c r="C19" s="126">
        <f t="shared" si="1"/>
      </c>
      <c r="D19" s="22">
        <v>11</v>
      </c>
      <c r="E19" s="50" t="str">
        <f>IF('Классный журнал'!E19="","",IF(OR(A19=-1,A19="x"),"",IF(A19=1,'Классный журнал'!E19,'Классный журнал'!E19)))</f>
        <v>Жарков Егор</v>
      </c>
      <c r="F19" s="19">
        <f t="shared" si="2"/>
        <v>8</v>
      </c>
      <c r="G19" s="19">
        <f t="shared" si="3"/>
        <v>28</v>
      </c>
      <c r="H19" s="23">
        <f t="shared" si="8"/>
        <v>3.5</v>
      </c>
      <c r="I19" s="24">
        <f t="shared" si="4"/>
        <v>11</v>
      </c>
      <c r="J19" s="24">
        <f t="shared" si="5"/>
        <v>11</v>
      </c>
      <c r="K19" s="19">
        <f>IF(E19="","",COUNTIF('Классный журнал'!F19:IV19,5))</f>
        <v>0</v>
      </c>
      <c r="L19" s="19">
        <f>IF(E19="","",COUNTIF('Классный журнал'!F19:IV19,4))</f>
        <v>4</v>
      </c>
      <c r="M19" s="19">
        <f>IF(E19="","",COUNTIF('Классный журнал'!F19:IV19,3))</f>
        <v>4</v>
      </c>
      <c r="N19" s="19">
        <f>IF(E19="","",COUNTIF('Классный журнал'!F19:IV19,2))</f>
        <v>0</v>
      </c>
      <c r="O19" s="19">
        <f>IF(E19="","",COUNTIF('Классный журнал'!F19:IV19,1))</f>
        <v>0</v>
      </c>
      <c r="P19" s="19">
        <f>IF(E19="",0,COUNTIF('Классный журнал'!F19:IV19,"н/б"))</f>
        <v>0</v>
      </c>
      <c r="Q19" s="19">
        <f>IF(E19="",0,COUNTIF('Классный журнал'!F19:IV19,"н/у"))</f>
        <v>0</v>
      </c>
      <c r="R19" s="19">
        <f>IF(E19="",0,COUNTIF('Классный журнал'!F19:IV19,"н"))</f>
        <v>0</v>
      </c>
      <c r="S19" s="19">
        <f t="shared" si="6"/>
        <v>0</v>
      </c>
      <c r="T19" s="49">
        <f t="shared" si="7"/>
        <v>3</v>
      </c>
      <c r="V19" s="1"/>
      <c r="W19" s="69"/>
      <c r="X19" s="303" t="s">
        <v>17</v>
      </c>
    </row>
    <row r="20" spans="1:24" ht="24" customHeight="1">
      <c r="A20" s="281">
        <f>IF(AND('Классный журнал'!C20="-",'Классный журнал'!D20&lt;=$J$5),-1,IF(AND('Классный журнал'!C20="-",'Классный журнал'!D20&gt;$J$5),"x",IF('Классный журнал'!C20="+",1,0)))</f>
        <v>0</v>
      </c>
      <c r="B20" s="126">
        <f t="shared" si="0"/>
      </c>
      <c r="C20" s="126">
        <f t="shared" si="1"/>
      </c>
      <c r="D20" s="22">
        <v>12</v>
      </c>
      <c r="E20" s="50" t="str">
        <f>IF('Классный журнал'!E20="","",IF(OR(A20=-1,A20="x"),"",IF(A20=1,'Классный журнал'!E20,'Классный журнал'!E20)))</f>
        <v>Заева Владлена</v>
      </c>
      <c r="F20" s="19">
        <f t="shared" si="2"/>
        <v>7</v>
      </c>
      <c r="G20" s="19">
        <f t="shared" si="3"/>
        <v>26</v>
      </c>
      <c r="H20" s="23">
        <f t="shared" si="8"/>
        <v>3.7142857142857144</v>
      </c>
      <c r="I20" s="24">
        <f t="shared" si="4"/>
        <v>7</v>
      </c>
      <c r="J20" s="24">
        <f t="shared" si="5"/>
        <v>7</v>
      </c>
      <c r="K20" s="19">
        <f>IF(E20="","",COUNTIF('Классный журнал'!F20:IV20,5))</f>
        <v>2</v>
      </c>
      <c r="L20" s="19">
        <f>IF(E20="","",COUNTIF('Классный журнал'!F20:IV20,4))</f>
        <v>2</v>
      </c>
      <c r="M20" s="19">
        <f>IF(E20="","",COUNTIF('Классный журнал'!F20:IV20,3))</f>
        <v>2</v>
      </c>
      <c r="N20" s="19">
        <f>IF(E20="","",COUNTIF('Классный журнал'!F20:IV20,2))</f>
        <v>1</v>
      </c>
      <c r="O20" s="19">
        <f>IF(E20="","",COUNTIF('Классный журнал'!F20:IV20,1))</f>
        <v>0</v>
      </c>
      <c r="P20" s="19">
        <f>IF(E20="",0,COUNTIF('Классный журнал'!F20:IV20,"н/б"))</f>
        <v>0</v>
      </c>
      <c r="Q20" s="19">
        <f>IF(E20="",0,COUNTIF('Классный журнал'!F20:IV20,"н/у"))</f>
        <v>0</v>
      </c>
      <c r="R20" s="19">
        <f>IF(E20="",0,COUNTIF('Классный журнал'!F20:IV20,"н"))</f>
        <v>0</v>
      </c>
      <c r="S20" s="19">
        <f t="shared" si="6"/>
        <v>0</v>
      </c>
      <c r="T20" s="49">
        <f t="shared" si="7"/>
        <v>4</v>
      </c>
      <c r="V20" s="1"/>
      <c r="W20" s="69"/>
      <c r="X20" s="303" t="s">
        <v>22</v>
      </c>
    </row>
    <row r="21" spans="1:24" ht="24" customHeight="1">
      <c r="A21" s="281">
        <f>IF(AND('Классный журнал'!C21="-",'Классный журнал'!D21&lt;=$J$5),-1,IF(AND('Классный журнал'!C21="-",'Классный журнал'!D21&gt;$J$5),"x",IF('Классный журнал'!C21="+",1,0)))</f>
        <v>0</v>
      </c>
      <c r="B21" s="126" t="str">
        <f t="shared" si="0"/>
        <v>x</v>
      </c>
      <c r="C21" s="126">
        <f t="shared" si="1"/>
      </c>
      <c r="D21" s="22">
        <v>13</v>
      </c>
      <c r="E21" s="50" t="str">
        <f>IF('Классный журнал'!E21="","",IF(OR(A21=-1,A21="x"),"",IF(A21=1,'Классный журнал'!E21,'Классный журнал'!E21)))</f>
        <v>Игошева Анастасия</v>
      </c>
      <c r="F21" s="19">
        <f t="shared" si="2"/>
        <v>6</v>
      </c>
      <c r="G21" s="19">
        <f t="shared" si="3"/>
        <v>17</v>
      </c>
      <c r="H21" s="23">
        <f t="shared" si="8"/>
        <v>2.8333333333333335</v>
      </c>
      <c r="I21" s="24">
        <f t="shared" si="4"/>
        <v>16</v>
      </c>
      <c r="J21" s="24">
        <f t="shared" si="5"/>
        <v>16</v>
      </c>
      <c r="K21" s="19">
        <f>IF(E21="","",COUNTIF('Классный журнал'!F21:IV21,5))</f>
        <v>0</v>
      </c>
      <c r="L21" s="19">
        <f>IF(E21="","",COUNTIF('Классный журнал'!F21:IV21,4))</f>
        <v>1</v>
      </c>
      <c r="M21" s="19">
        <f>IF(E21="","",COUNTIF('Классный журнал'!F21:IV21,3))</f>
        <v>3</v>
      </c>
      <c r="N21" s="19">
        <f>IF(E21="","",COUNTIF('Классный журнал'!F21:IV21,2))</f>
        <v>2</v>
      </c>
      <c r="O21" s="19">
        <f>IF(E21="","",COUNTIF('Классный журнал'!F21:IV21,1))</f>
        <v>0</v>
      </c>
      <c r="P21" s="19">
        <f>IF(E21="",0,COUNTIF('Классный журнал'!F21:IV21,"н/б"))</f>
        <v>4</v>
      </c>
      <c r="Q21" s="19">
        <f>IF(E21="",0,COUNTIF('Классный журнал'!F21:IV21,"н/у"))</f>
        <v>0</v>
      </c>
      <c r="R21" s="19">
        <f>IF(E21="",0,COUNTIF('Классный журнал'!F21:IV21,"н"))</f>
        <v>3</v>
      </c>
      <c r="S21" s="19">
        <f t="shared" si="6"/>
        <v>7</v>
      </c>
      <c r="T21" s="49">
        <f t="shared" si="7"/>
        <v>3</v>
      </c>
      <c r="V21" s="1"/>
      <c r="W21" s="69"/>
      <c r="X21" s="303" t="s">
        <v>24</v>
      </c>
    </row>
    <row r="22" spans="1:24" ht="24" customHeight="1">
      <c r="A22" s="281">
        <f>IF(AND('Классный журнал'!C22="-",'Классный журнал'!D22&lt;=$J$5),-1,IF(AND('Классный журнал'!C22="-",'Классный журнал'!D22&gt;$J$5),"x",IF('Классный журнал'!C22="+",1,0)))</f>
        <v>0</v>
      </c>
      <c r="B22" s="126" t="str">
        <f t="shared" si="0"/>
        <v>x</v>
      </c>
      <c r="C22" s="126" t="str">
        <f t="shared" si="1"/>
        <v>!</v>
      </c>
      <c r="D22" s="22">
        <v>14</v>
      </c>
      <c r="E22" s="50" t="str">
        <f>IF('Классный журнал'!E22="","",IF(OR(A22=-1,A22="x"),"",IF(A22=1,'Классный журнал'!E22,'Классный журнал'!E22)))</f>
        <v>Казанцев Андрей</v>
      </c>
      <c r="F22" s="19">
        <f t="shared" si="2"/>
        <v>6</v>
      </c>
      <c r="G22" s="19">
        <f t="shared" si="3"/>
        <v>13</v>
      </c>
      <c r="H22" s="23">
        <f t="shared" si="8"/>
        <v>2.1666666666666665</v>
      </c>
      <c r="I22" s="24">
        <f t="shared" si="4"/>
        <v>26</v>
      </c>
      <c r="J22" s="24">
        <f t="shared" si="5"/>
        <v>26</v>
      </c>
      <c r="K22" s="19">
        <f>IF(E22="","",COUNTIF('Классный журнал'!F22:IV22,5))</f>
        <v>0</v>
      </c>
      <c r="L22" s="19">
        <f>IF(E22="","",COUNTIF('Классный журнал'!F22:IV22,4))</f>
        <v>0</v>
      </c>
      <c r="M22" s="19">
        <f>IF(E22="","",COUNTIF('Классный журнал'!F22:IV22,3))</f>
        <v>3</v>
      </c>
      <c r="N22" s="19">
        <f>IF(E22="","",COUNTIF('Классный журнал'!F22:IV22,2))</f>
        <v>1</v>
      </c>
      <c r="O22" s="19">
        <f>IF(E22="","",COUNTIF('Классный журнал'!F22:IV22,1))</f>
        <v>2</v>
      </c>
      <c r="P22" s="19">
        <f>IF(E22="",0,COUNTIF('Классный журнал'!F22:IV22,"н/б"))</f>
        <v>0</v>
      </c>
      <c r="Q22" s="19">
        <f>IF(E22="",0,COUNTIF('Классный журнал'!F22:IV22,"н/у"))</f>
        <v>0</v>
      </c>
      <c r="R22" s="19">
        <f>IF(E22="",0,COUNTIF('Классный журнал'!F22:IV22,"н"))</f>
        <v>4</v>
      </c>
      <c r="S22" s="19">
        <f t="shared" si="6"/>
        <v>4</v>
      </c>
      <c r="T22" s="49">
        <f t="shared" si="7"/>
        <v>2</v>
      </c>
      <c r="V22" s="1"/>
      <c r="W22" s="69"/>
      <c r="X22" s="303" t="s">
        <v>26</v>
      </c>
    </row>
    <row r="23" spans="1:24" ht="24" customHeight="1">
      <c r="A23" s="281">
        <f>IF(AND('Классный журнал'!C23="-",'Классный журнал'!D23&lt;=$J$5),-1,IF(AND('Классный журнал'!C23="-",'Классный журнал'!D23&gt;$J$5),"x",IF('Классный журнал'!C23="+",1,0)))</f>
        <v>0</v>
      </c>
      <c r="B23" s="126">
        <f t="shared" si="0"/>
      </c>
      <c r="C23" s="126">
        <f t="shared" si="1"/>
      </c>
      <c r="D23" s="22">
        <v>15</v>
      </c>
      <c r="E23" s="50" t="str">
        <f>IF('Классный журнал'!E23="","",IF(OR(A23=-1,A23="x"),"",IF(A23=1,'Классный журнал'!E23,'Классный журнал'!E23)))</f>
        <v>Кравченко Кристина</v>
      </c>
      <c r="F23" s="19">
        <f t="shared" si="2"/>
        <v>8</v>
      </c>
      <c r="G23" s="19">
        <f t="shared" si="3"/>
        <v>39</v>
      </c>
      <c r="H23" s="23">
        <f t="shared" si="8"/>
        <v>4.875</v>
      </c>
      <c r="I23" s="24">
        <f t="shared" si="4"/>
        <v>1</v>
      </c>
      <c r="J23" s="24">
        <f t="shared" si="5"/>
        <v>1</v>
      </c>
      <c r="K23" s="19">
        <f>IF(E23="","",COUNTIF('Классный журнал'!F23:IV23,5))</f>
        <v>7</v>
      </c>
      <c r="L23" s="19">
        <f>IF(E23="","",COUNTIF('Классный журнал'!F23:IV23,4))</f>
        <v>1</v>
      </c>
      <c r="M23" s="19">
        <f>IF(E23="","",COUNTIF('Классный журнал'!F23:IV23,3))</f>
        <v>0</v>
      </c>
      <c r="N23" s="19">
        <f>IF(E23="","",COUNTIF('Классный журнал'!F23:IV23,2))</f>
        <v>0</v>
      </c>
      <c r="O23" s="19">
        <f>IF(E23="","",COUNTIF('Классный журнал'!F23:IV23,1))</f>
        <v>0</v>
      </c>
      <c r="P23" s="19">
        <f>IF(E23="",0,COUNTIF('Классный журнал'!F23:IV23,"н/б"))</f>
        <v>0</v>
      </c>
      <c r="Q23" s="19">
        <f>IF(E23="",0,COUNTIF('Классный журнал'!F23:IV23,"н/у"))</f>
        <v>0</v>
      </c>
      <c r="R23" s="19">
        <f>IF(E23="",0,COUNTIF('Классный журнал'!F23:IV23,"н"))</f>
        <v>0</v>
      </c>
      <c r="S23" s="19">
        <f t="shared" si="6"/>
        <v>0</v>
      </c>
      <c r="T23" s="49">
        <f t="shared" si="7"/>
        <v>5</v>
      </c>
      <c r="V23" s="1"/>
      <c r="W23" s="69" t="s">
        <v>229</v>
      </c>
      <c r="X23" s="303"/>
    </row>
    <row r="24" spans="1:24" ht="24" customHeight="1">
      <c r="A24" s="281">
        <f>IF(AND('Классный журнал'!C24="-",'Классный журнал'!D24&lt;=$J$5),-1,IF(AND('Классный журнал'!C24="-",'Классный журнал'!D24&gt;$J$5),"x",IF('Классный журнал'!C24="+",1,0)))</f>
        <v>0</v>
      </c>
      <c r="B24" s="126">
        <f t="shared" si="0"/>
      </c>
      <c r="C24" s="126">
        <f t="shared" si="1"/>
      </c>
      <c r="D24" s="22">
        <v>16</v>
      </c>
      <c r="E24" s="50" t="str">
        <f>IF('Классный журнал'!E24="","",IF(OR(A24=-1,A24="x"),"",IF(A24=1,'Классный журнал'!E24,'Классный журнал'!E24)))</f>
        <v>Кротков Александр</v>
      </c>
      <c r="F24" s="19">
        <f t="shared" si="2"/>
        <v>7</v>
      </c>
      <c r="G24" s="19">
        <f t="shared" si="3"/>
        <v>20</v>
      </c>
      <c r="H24" s="23">
        <f t="shared" si="8"/>
        <v>2.857142857142857</v>
      </c>
      <c r="I24" s="24">
        <f t="shared" si="4"/>
        <v>15</v>
      </c>
      <c r="J24" s="24">
        <f t="shared" si="5"/>
        <v>15</v>
      </c>
      <c r="K24" s="19">
        <f>IF(E24="","",COUNTIF('Классный журнал'!F24:IV24,5))</f>
        <v>0</v>
      </c>
      <c r="L24" s="19">
        <f>IF(E24="","",COUNTIF('Классный журнал'!F24:IV24,4))</f>
        <v>0</v>
      </c>
      <c r="M24" s="19">
        <f>IF(E24="","",COUNTIF('Классный журнал'!F24:IV24,3))</f>
        <v>6</v>
      </c>
      <c r="N24" s="19">
        <f>IF(E24="","",COUNTIF('Классный журнал'!F24:IV24,2))</f>
        <v>1</v>
      </c>
      <c r="O24" s="19">
        <f>IF(E24="","",COUNTIF('Классный журнал'!F24:IV24,1))</f>
        <v>0</v>
      </c>
      <c r="P24" s="19">
        <f>IF(E24="",0,COUNTIF('Классный журнал'!F24:IV24,"н/б"))</f>
        <v>0</v>
      </c>
      <c r="Q24" s="19">
        <f>IF(E24="",0,COUNTIF('Классный журнал'!F24:IV24,"н/у"))</f>
        <v>2</v>
      </c>
      <c r="R24" s="19">
        <f>IF(E24="",0,COUNTIF('Классный журнал'!F24:IV24,"н"))</f>
        <v>0</v>
      </c>
      <c r="S24" s="19">
        <f t="shared" si="6"/>
        <v>2</v>
      </c>
      <c r="T24" s="49">
        <f t="shared" si="7"/>
        <v>3</v>
      </c>
      <c r="V24" s="1"/>
      <c r="W24" s="69"/>
      <c r="X24" s="303"/>
    </row>
    <row r="25" spans="1:24" ht="24" customHeight="1">
      <c r="A25" s="281">
        <f>IF(AND('Классный журнал'!C25="-",'Классный журнал'!D25&lt;=$J$5),-1,IF(AND('Классный журнал'!C25="-",'Классный журнал'!D25&gt;$J$5),"x",IF('Классный журнал'!C25="+",1,0)))</f>
        <v>0</v>
      </c>
      <c r="B25" s="126" t="str">
        <f t="shared" si="0"/>
        <v>x</v>
      </c>
      <c r="C25" s="126">
        <f t="shared" si="1"/>
      </c>
      <c r="D25" s="22">
        <v>17</v>
      </c>
      <c r="E25" s="50" t="str">
        <f>IF('Классный журнал'!E25="","",IF(OR(A25=-1,A25="x"),"",IF(A25=1,'Классный журнал'!E25,'Классный журнал'!E25)))</f>
        <v>Кузнецова Екатерина</v>
      </c>
      <c r="F25" s="19">
        <f t="shared" si="2"/>
        <v>6</v>
      </c>
      <c r="G25" s="19">
        <f t="shared" si="3"/>
        <v>24</v>
      </c>
      <c r="H25" s="23">
        <f t="shared" si="8"/>
        <v>4</v>
      </c>
      <c r="I25" s="24">
        <f t="shared" si="4"/>
        <v>5</v>
      </c>
      <c r="J25" s="24">
        <f t="shared" si="5"/>
        <v>5</v>
      </c>
      <c r="K25" s="19">
        <f>IF(E25="","",COUNTIF('Классный журнал'!F25:IV25,5))</f>
        <v>1</v>
      </c>
      <c r="L25" s="19">
        <f>IF(E25="","",COUNTIF('Классный журнал'!F25:IV25,4))</f>
        <v>4</v>
      </c>
      <c r="M25" s="19">
        <f>IF(E25="","",COUNTIF('Классный журнал'!F25:IV25,3))</f>
        <v>1</v>
      </c>
      <c r="N25" s="19">
        <f>IF(E25="","",COUNTIF('Классный журнал'!F25:IV25,2))</f>
        <v>0</v>
      </c>
      <c r="O25" s="19">
        <f>IF(E25="","",COUNTIF('Классный журнал'!F25:IV25,1))</f>
        <v>0</v>
      </c>
      <c r="P25" s="19">
        <f>IF(E25="",0,COUNTIF('Классный журнал'!F25:IV25,"н/б"))</f>
        <v>0</v>
      </c>
      <c r="Q25" s="19">
        <f>IF(E25="",0,COUNTIF('Классный журнал'!F25:IV25,"н/у"))</f>
        <v>0</v>
      </c>
      <c r="R25" s="19">
        <f>IF(E25="",0,COUNTIF('Классный журнал'!F25:IV25,"н"))</f>
        <v>0</v>
      </c>
      <c r="S25" s="19">
        <f t="shared" si="6"/>
        <v>0</v>
      </c>
      <c r="T25" s="49">
        <f t="shared" si="7"/>
        <v>4</v>
      </c>
      <c r="V25" s="1"/>
      <c r="W25" s="1"/>
      <c r="X25" s="303"/>
    </row>
    <row r="26" spans="1:24" ht="24" customHeight="1">
      <c r="A26" s="281">
        <f>IF(AND('Классный журнал'!C26="-",'Классный журнал'!D26&lt;=$J$5),-1,IF(AND('Классный журнал'!C26="-",'Классный журнал'!D26&gt;$J$5),"x",IF('Классный журнал'!C26="+",1,0)))</f>
        <v>0</v>
      </c>
      <c r="B26" s="126" t="str">
        <f t="shared" si="0"/>
        <v>x</v>
      </c>
      <c r="C26" s="126">
        <f t="shared" si="1"/>
      </c>
      <c r="D26" s="22">
        <v>18</v>
      </c>
      <c r="E26" s="50" t="str">
        <f>IF('Классный журнал'!E26="","",IF(OR(A26=-1,A26="x"),"",IF(A26=1,'Классный журнал'!E26,'Классный журнал'!E26)))</f>
        <v>Курило Павел</v>
      </c>
      <c r="F26" s="19">
        <f t="shared" si="2"/>
        <v>6</v>
      </c>
      <c r="G26" s="19">
        <f t="shared" si="3"/>
        <v>15</v>
      </c>
      <c r="H26" s="23">
        <f t="shared" si="8"/>
        <v>2.5</v>
      </c>
      <c r="I26" s="24">
        <f t="shared" si="4"/>
        <v>22</v>
      </c>
      <c r="J26" s="24">
        <f t="shared" si="5"/>
        <v>22</v>
      </c>
      <c r="K26" s="19">
        <f>IF(E26="","",COUNTIF('Классный журнал'!F26:IV26,5))</f>
        <v>0</v>
      </c>
      <c r="L26" s="19">
        <f>IF(E26="","",COUNTIF('Классный журнал'!F26:IV26,4))</f>
        <v>0</v>
      </c>
      <c r="M26" s="19">
        <f>IF(E26="","",COUNTIF('Классный журнал'!F26:IV26,3))</f>
        <v>3</v>
      </c>
      <c r="N26" s="19">
        <f>IF(E26="","",COUNTIF('Классный журнал'!F26:IV26,2))</f>
        <v>3</v>
      </c>
      <c r="O26" s="19">
        <f>IF(E26="","",COUNTIF('Классный журнал'!F26:IV26,1))</f>
        <v>0</v>
      </c>
      <c r="P26" s="19">
        <f>IF(E26="",0,COUNTIF('Классный журнал'!F26:IV26,"н/б"))</f>
        <v>1</v>
      </c>
      <c r="Q26" s="19">
        <f>IF(E26="",0,COUNTIF('Классный журнал'!F26:IV26,"н/у"))</f>
        <v>0</v>
      </c>
      <c r="R26" s="19">
        <f>IF(E26="",0,COUNTIF('Классный журнал'!F26:IV26,"н"))</f>
        <v>2</v>
      </c>
      <c r="S26" s="19">
        <f t="shared" si="6"/>
        <v>3</v>
      </c>
      <c r="T26" s="49">
        <f t="shared" si="7"/>
        <v>3</v>
      </c>
      <c r="V26" s="1"/>
      <c r="W26" s="1"/>
      <c r="X26" s="303"/>
    </row>
    <row r="27" spans="1:24" ht="24" customHeight="1">
      <c r="A27" s="281">
        <f>IF(AND('Классный журнал'!C27="-",'Классный журнал'!D27&lt;=$J$5),-1,IF(AND('Классный журнал'!C27="-",'Классный журнал'!D27&gt;$J$5),"x",IF('Классный журнал'!C27="+",1,0)))</f>
        <v>0</v>
      </c>
      <c r="B27" s="126" t="str">
        <f t="shared" si="0"/>
        <v>x</v>
      </c>
      <c r="C27" s="126" t="str">
        <f t="shared" si="1"/>
        <v>!</v>
      </c>
      <c r="D27" s="22">
        <v>19</v>
      </c>
      <c r="E27" s="50" t="str">
        <f>IF('Классный журнал'!E27="","",IF(OR(A27=-1,A27="x"),"",IF(A27=1,'Классный журнал'!E27,'Классный журнал'!E27)))</f>
        <v>Максимкина Татьяна</v>
      </c>
      <c r="F27" s="19">
        <f t="shared" si="2"/>
        <v>6</v>
      </c>
      <c r="G27" s="19">
        <f t="shared" si="3"/>
        <v>13</v>
      </c>
      <c r="H27" s="23">
        <f t="shared" si="8"/>
        <v>2.1666666666666665</v>
      </c>
      <c r="I27" s="24">
        <f t="shared" si="4"/>
        <v>26</v>
      </c>
      <c r="J27" s="24">
        <f t="shared" si="5"/>
        <v>26</v>
      </c>
      <c r="K27" s="19">
        <f>IF(E27="","",COUNTIF('Классный журнал'!F27:IV27,5))</f>
        <v>0</v>
      </c>
      <c r="L27" s="19">
        <f>IF(E27="","",COUNTIF('Классный журнал'!F27:IV27,4))</f>
        <v>0</v>
      </c>
      <c r="M27" s="19">
        <f>IF(E27="","",COUNTIF('Классный журнал'!F27:IV27,3))</f>
        <v>1</v>
      </c>
      <c r="N27" s="19">
        <f>IF(E27="","",COUNTIF('Классный журнал'!F27:IV27,2))</f>
        <v>5</v>
      </c>
      <c r="O27" s="19">
        <f>IF(E27="","",COUNTIF('Классный журнал'!F27:IV27,1))</f>
        <v>0</v>
      </c>
      <c r="P27" s="19">
        <f>IF(E27="",0,COUNTIF('Классный журнал'!F27:IV27,"н/б"))</f>
        <v>0</v>
      </c>
      <c r="Q27" s="19">
        <f>IF(E27="",0,COUNTIF('Классный журнал'!F27:IV27,"н/у"))</f>
        <v>0</v>
      </c>
      <c r="R27" s="19">
        <f>IF(E27="",0,COUNTIF('Классный журнал'!F27:IV27,"н"))</f>
        <v>5</v>
      </c>
      <c r="S27" s="19">
        <f t="shared" si="6"/>
        <v>5</v>
      </c>
      <c r="T27" s="49">
        <f t="shared" si="7"/>
        <v>2</v>
      </c>
      <c r="V27" s="1"/>
      <c r="W27" s="1"/>
      <c r="X27" s="1"/>
    </row>
    <row r="28" spans="1:24" ht="24" customHeight="1">
      <c r="A28" s="281">
        <f>IF(AND('Классный журнал'!C28="-",'Классный журнал'!D28&lt;=$J$5),-1,IF(AND('Классный журнал'!C28="-",'Классный журнал'!D28&gt;$J$5),"x",IF('Классный журнал'!C28="+",1,0)))</f>
        <v>0</v>
      </c>
      <c r="B28" s="126" t="str">
        <f t="shared" si="0"/>
        <v>x</v>
      </c>
      <c r="C28" s="126">
        <f t="shared" si="1"/>
      </c>
      <c r="D28" s="22">
        <v>20</v>
      </c>
      <c r="E28" s="50" t="str">
        <f>IF('Классный журнал'!E28="","",IF(OR(A28=-1,A28="x"),"",IF(A28=1,'Классный журнал'!E28,'Классный журнал'!E28)))</f>
        <v>Малахова Ксения</v>
      </c>
      <c r="F28" s="19">
        <f t="shared" si="2"/>
        <v>6</v>
      </c>
      <c r="G28" s="19">
        <f t="shared" si="3"/>
        <v>16</v>
      </c>
      <c r="H28" s="23">
        <f t="shared" si="8"/>
        <v>2.6666666666666665</v>
      </c>
      <c r="I28" s="24">
        <f t="shared" si="4"/>
        <v>19</v>
      </c>
      <c r="J28" s="24">
        <f t="shared" si="5"/>
        <v>19</v>
      </c>
      <c r="K28" s="19">
        <f>IF(E28="","",COUNTIF('Классный журнал'!F28:IV28,5))</f>
        <v>0</v>
      </c>
      <c r="L28" s="19">
        <f>IF(E28="","",COUNTIF('Классный журнал'!F28:IV28,4))</f>
        <v>0</v>
      </c>
      <c r="M28" s="19">
        <f>IF(E28="","",COUNTIF('Классный журнал'!F28:IV28,3))</f>
        <v>4</v>
      </c>
      <c r="N28" s="19">
        <f>IF(E28="","",COUNTIF('Классный журнал'!F28:IV28,2))</f>
        <v>2</v>
      </c>
      <c r="O28" s="19">
        <f>IF(E28="","",COUNTIF('Классный журнал'!F28:IV28,1))</f>
        <v>0</v>
      </c>
      <c r="P28" s="19">
        <f>IF(E28="",0,COUNTIF('Классный журнал'!F28:IV28,"н/б"))</f>
        <v>1</v>
      </c>
      <c r="Q28" s="19">
        <f>IF(E28="",0,COUNTIF('Классный журнал'!F28:IV28,"н/у"))</f>
        <v>0</v>
      </c>
      <c r="R28" s="19">
        <f>IF(E28="",0,COUNTIF('Классный журнал'!F28:IV28,"н"))</f>
        <v>1</v>
      </c>
      <c r="S28" s="19">
        <f t="shared" si="6"/>
        <v>2</v>
      </c>
      <c r="T28" s="49">
        <f t="shared" si="7"/>
        <v>3</v>
      </c>
      <c r="V28" s="1"/>
      <c r="W28" s="1"/>
      <c r="X28" s="1"/>
    </row>
    <row r="29" spans="1:24" ht="24" customHeight="1">
      <c r="A29" s="281">
        <f>IF(AND('Классный журнал'!C29="-",'Классный журнал'!D29&lt;=$J$5),-1,IF(AND('Классный журнал'!C29="-",'Классный журнал'!D29&gt;$J$5),"x",IF('Классный журнал'!C29="+",1,0)))</f>
        <v>0</v>
      </c>
      <c r="B29" s="126">
        <f t="shared" si="0"/>
      </c>
      <c r="C29" s="126" t="str">
        <f t="shared" si="1"/>
        <v>!</v>
      </c>
      <c r="D29" s="22">
        <v>21</v>
      </c>
      <c r="E29" s="50" t="str">
        <f>IF('Классный журнал'!E29="","",IF(OR(A29=-1,A29="x"),"",IF(A29=1,'Классный журнал'!E29,'Классный журнал'!E29)))</f>
        <v>Марсуверских Михаил</v>
      </c>
      <c r="F29" s="19">
        <f t="shared" si="2"/>
        <v>8</v>
      </c>
      <c r="G29" s="19">
        <f t="shared" si="3"/>
        <v>19</v>
      </c>
      <c r="H29" s="23">
        <f t="shared" si="8"/>
        <v>2.375</v>
      </c>
      <c r="I29" s="24">
        <f t="shared" si="4"/>
        <v>25</v>
      </c>
      <c r="J29" s="24">
        <f t="shared" si="5"/>
        <v>25</v>
      </c>
      <c r="K29" s="19">
        <f>IF(E29="","",COUNTIF('Классный журнал'!F29:IV29,5))</f>
        <v>0</v>
      </c>
      <c r="L29" s="19">
        <f>IF(E29="","",COUNTIF('Классный журнал'!F29:IV29,4))</f>
        <v>0</v>
      </c>
      <c r="M29" s="19">
        <f>IF(E29="","",COUNTIF('Классный журнал'!F29:IV29,3))</f>
        <v>4</v>
      </c>
      <c r="N29" s="19">
        <f>IF(E29="","",COUNTIF('Классный журнал'!F29:IV29,2))</f>
        <v>3</v>
      </c>
      <c r="O29" s="19">
        <f>IF(E29="","",COUNTIF('Классный журнал'!F29:IV29,1))</f>
        <v>1</v>
      </c>
      <c r="P29" s="19">
        <f>IF(E29="",0,COUNTIF('Классный журнал'!F29:IV29,"н/б"))</f>
        <v>1</v>
      </c>
      <c r="Q29" s="19">
        <f>IF(E29="",0,COUNTIF('Классный журнал'!F29:IV29,"н/у"))</f>
        <v>0</v>
      </c>
      <c r="R29" s="19">
        <f>IF(E29="",0,COUNTIF('Классный журнал'!F29:IV29,"н"))</f>
        <v>0</v>
      </c>
      <c r="S29" s="19">
        <f t="shared" si="6"/>
        <v>1</v>
      </c>
      <c r="T29" s="49">
        <f t="shared" si="7"/>
        <v>2</v>
      </c>
      <c r="V29" s="1"/>
      <c r="W29" s="1"/>
      <c r="X29" s="1"/>
    </row>
    <row r="30" spans="1:24" ht="24" customHeight="1">
      <c r="A30" s="281">
        <f>IF(AND('Классный журнал'!C30="-",'Классный журнал'!D30&lt;=$J$5),-1,IF(AND('Классный журнал'!C30="-",'Классный журнал'!D30&gt;$J$5),"x",IF('Классный журнал'!C30="+",1,0)))</f>
        <v>0</v>
      </c>
      <c r="B30" s="126" t="str">
        <f t="shared" si="0"/>
        <v>x</v>
      </c>
      <c r="C30" s="126">
        <f t="shared" si="1"/>
      </c>
      <c r="D30" s="22">
        <v>22</v>
      </c>
      <c r="E30" s="50" t="str">
        <f>IF('Классный журнал'!E30="","",IF(OR(A30=-1,A30="x"),"",IF(A30=1,'Классный журнал'!E30,'Классный журнал'!E30)))</f>
        <v>Никифоров Алексей</v>
      </c>
      <c r="F30" s="19">
        <f t="shared" si="2"/>
        <v>6</v>
      </c>
      <c r="G30" s="19">
        <f t="shared" si="3"/>
        <v>22</v>
      </c>
      <c r="H30" s="23">
        <f t="shared" si="8"/>
        <v>3.6666666666666665</v>
      </c>
      <c r="I30" s="24">
        <f t="shared" si="4"/>
        <v>8</v>
      </c>
      <c r="J30" s="24">
        <f t="shared" si="5"/>
        <v>8</v>
      </c>
      <c r="K30" s="19">
        <f>IF(E30="","",COUNTIF('Классный журнал'!F30:IV30,5))</f>
        <v>1</v>
      </c>
      <c r="L30" s="19">
        <f>IF(E30="","",COUNTIF('Классный журнал'!F30:IV30,4))</f>
        <v>3</v>
      </c>
      <c r="M30" s="19">
        <f>IF(E30="","",COUNTIF('Классный журнал'!F30:IV30,3))</f>
        <v>1</v>
      </c>
      <c r="N30" s="19">
        <f>IF(E30="","",COUNTIF('Классный журнал'!F30:IV30,2))</f>
        <v>1</v>
      </c>
      <c r="O30" s="19">
        <f>IF(E30="","",COUNTIF('Классный журнал'!F30:IV30,1))</f>
        <v>0</v>
      </c>
      <c r="P30" s="19">
        <f>IF(E30="",0,COUNTIF('Классный журнал'!F30:IV30,"н/б"))</f>
        <v>0</v>
      </c>
      <c r="Q30" s="19">
        <f>IF(E30="",0,COUNTIF('Классный журнал'!F30:IV30,"н/у"))</f>
        <v>3</v>
      </c>
      <c r="R30" s="19">
        <f>IF(E30="",0,COUNTIF('Классный журнал'!F30:IV30,"н"))</f>
        <v>0</v>
      </c>
      <c r="S30" s="19">
        <f t="shared" si="6"/>
        <v>3</v>
      </c>
      <c r="T30" s="49">
        <f t="shared" si="7"/>
        <v>3</v>
      </c>
      <c r="V30" s="1"/>
      <c r="W30" s="1"/>
      <c r="X30" s="1"/>
    </row>
    <row r="31" spans="1:24" ht="24" customHeight="1">
      <c r="A31" s="281">
        <f>IF(AND('Классный журнал'!C31="-",'Классный журнал'!D31&lt;=$J$5),-1,IF(AND('Классный журнал'!C31="-",'Классный журнал'!D31&gt;$J$5),"x",IF('Классный журнал'!C31="+",1,0)))</f>
        <v>0</v>
      </c>
      <c r="B31" s="126">
        <f t="shared" si="0"/>
      </c>
      <c r="C31" s="126" t="str">
        <f t="shared" si="1"/>
        <v>!</v>
      </c>
      <c r="D31" s="22">
        <v>23</v>
      </c>
      <c r="E31" s="50" t="str">
        <f>IF('Классный журнал'!E31="","",IF(OR(A31=-1,A31="x"),"",IF(A31=1,'Классный журнал'!E31,'Классный журнал'!E31)))</f>
        <v>Панченко Олеся</v>
      </c>
      <c r="F31" s="19">
        <f t="shared" si="2"/>
        <v>7</v>
      </c>
      <c r="G31" s="19">
        <f t="shared" si="3"/>
        <v>17</v>
      </c>
      <c r="H31" s="23">
        <f t="shared" si="8"/>
        <v>2.4285714285714284</v>
      </c>
      <c r="I31" s="24">
        <f t="shared" si="4"/>
        <v>23</v>
      </c>
      <c r="J31" s="24">
        <f t="shared" si="5"/>
        <v>23</v>
      </c>
      <c r="K31" s="19">
        <f>IF(E31="","",COUNTIF('Классный журнал'!F31:IV31,5))</f>
        <v>0</v>
      </c>
      <c r="L31" s="19">
        <f>IF(E31="","",COUNTIF('Классный журнал'!F31:IV31,4))</f>
        <v>0</v>
      </c>
      <c r="M31" s="19">
        <f>IF(E31="","",COUNTIF('Классный журнал'!F31:IV31,3))</f>
        <v>4</v>
      </c>
      <c r="N31" s="19">
        <f>IF(E31="","",COUNTIF('Классный журнал'!F31:IV31,2))</f>
        <v>2</v>
      </c>
      <c r="O31" s="19">
        <f>IF(E31="","",COUNTIF('Классный журнал'!F31:IV31,1))</f>
        <v>1</v>
      </c>
      <c r="P31" s="19">
        <f>IF(E31="",0,COUNTIF('Классный журнал'!F31:IV31,"н/б"))</f>
        <v>1</v>
      </c>
      <c r="Q31" s="19">
        <f>IF(E31="",0,COUNTIF('Классный журнал'!F31:IV31,"н/у"))</f>
        <v>2</v>
      </c>
      <c r="R31" s="19">
        <f>IF(E31="",0,COUNTIF('Классный журнал'!F31:IV31,"н"))</f>
        <v>1</v>
      </c>
      <c r="S31" s="19">
        <f t="shared" si="6"/>
        <v>4</v>
      </c>
      <c r="T31" s="49">
        <f t="shared" si="7"/>
        <v>2</v>
      </c>
      <c r="V31" s="1"/>
      <c r="W31" s="1"/>
      <c r="X31" s="1"/>
    </row>
    <row r="32" spans="1:24" ht="24" customHeight="1">
      <c r="A32" s="281">
        <f>IF(AND('Классный журнал'!C32="-",'Классный журнал'!D32&lt;=$J$5),-1,IF(AND('Классный журнал'!C32="-",'Классный журнал'!D32&gt;$J$5),"x",IF('Классный журнал'!C32="+",1,0)))</f>
        <v>0</v>
      </c>
      <c r="B32" s="126">
        <f t="shared" si="0"/>
      </c>
      <c r="C32" s="126">
        <f t="shared" si="1"/>
      </c>
      <c r="D32" s="22">
        <v>24</v>
      </c>
      <c r="E32" s="50" t="str">
        <f>IF('Классный журнал'!E32="","",IF(OR(A32=-1,A32="x"),"",IF(A32=1,'Классный журнал'!E32,'Классный журнал'!E32)))</f>
        <v>Перцев Владимир</v>
      </c>
      <c r="F32" s="19">
        <f t="shared" si="2"/>
        <v>8</v>
      </c>
      <c r="G32" s="19">
        <f t="shared" si="3"/>
        <v>24</v>
      </c>
      <c r="H32" s="23">
        <f t="shared" si="8"/>
        <v>3</v>
      </c>
      <c r="I32" s="24">
        <f t="shared" si="4"/>
        <v>13</v>
      </c>
      <c r="J32" s="24">
        <f t="shared" si="5"/>
        <v>13</v>
      </c>
      <c r="K32" s="19">
        <f>IF(E32="","",COUNTIF('Классный журнал'!F32:IV32,5))</f>
        <v>0</v>
      </c>
      <c r="L32" s="19">
        <f>IF(E32="","",COUNTIF('Классный журнал'!F32:IV32,4))</f>
        <v>2</v>
      </c>
      <c r="M32" s="19">
        <f>IF(E32="","",COUNTIF('Классный журнал'!F32:IV32,3))</f>
        <v>4</v>
      </c>
      <c r="N32" s="19">
        <f>IF(E32="","",COUNTIF('Классный журнал'!F32:IV32,2))</f>
        <v>2</v>
      </c>
      <c r="O32" s="19">
        <f>IF(E32="","",COUNTIF('Классный журнал'!F32:IV32,1))</f>
        <v>0</v>
      </c>
      <c r="P32" s="19">
        <f>IF(E32="",0,COUNTIF('Классный журнал'!F32:IV32,"н/б"))</f>
        <v>0</v>
      </c>
      <c r="Q32" s="19">
        <f>IF(E32="",0,COUNTIF('Классный журнал'!F32:IV32,"н/у"))</f>
        <v>0</v>
      </c>
      <c r="R32" s="19">
        <f>IF(E32="",0,COUNTIF('Классный журнал'!F32:IV32,"н"))</f>
        <v>0</v>
      </c>
      <c r="S32" s="19">
        <f t="shared" si="6"/>
        <v>0</v>
      </c>
      <c r="T32" s="49">
        <f t="shared" si="7"/>
        <v>3</v>
      </c>
      <c r="V32" s="1"/>
      <c r="W32" s="1"/>
      <c r="X32" s="1"/>
    </row>
    <row r="33" spans="1:24" ht="24" customHeight="1">
      <c r="A33" s="281">
        <f>IF(AND('Классный журнал'!C33="-",'Классный журнал'!D33&lt;=$J$5),-1,IF(AND('Классный журнал'!C33="-",'Классный журнал'!D33&gt;$J$5),"x",IF('Классный журнал'!C33="+",1,0)))</f>
        <v>0</v>
      </c>
      <c r="B33" s="126" t="str">
        <f t="shared" si="0"/>
        <v>x</v>
      </c>
      <c r="C33" s="126">
        <f t="shared" si="1"/>
      </c>
      <c r="D33" s="22">
        <v>25</v>
      </c>
      <c r="E33" s="50" t="str">
        <f>IF('Классный журнал'!E33="","",IF(OR(A33=-1,A33="x"),"",IF(A33=1,'Классный журнал'!E33,'Классный журнал'!E33)))</f>
        <v>Плешивцев Виталий</v>
      </c>
      <c r="F33" s="19">
        <f t="shared" si="2"/>
        <v>6</v>
      </c>
      <c r="G33" s="19">
        <f t="shared" si="3"/>
        <v>17</v>
      </c>
      <c r="H33" s="23">
        <f t="shared" si="8"/>
        <v>2.8333333333333335</v>
      </c>
      <c r="I33" s="24">
        <f t="shared" si="4"/>
        <v>16</v>
      </c>
      <c r="J33" s="24">
        <f t="shared" si="5"/>
        <v>16</v>
      </c>
      <c r="K33" s="19">
        <f>IF(E33="","",COUNTIF('Классный журнал'!F33:IV33,5))</f>
        <v>0</v>
      </c>
      <c r="L33" s="19">
        <f>IF(E33="","",COUNTIF('Классный журнал'!F33:IV33,4))</f>
        <v>0</v>
      </c>
      <c r="M33" s="19">
        <f>IF(E33="","",COUNTIF('Классный журнал'!F33:IV33,3))</f>
        <v>5</v>
      </c>
      <c r="N33" s="19">
        <f>IF(E33="","",COUNTIF('Классный журнал'!F33:IV33,2))</f>
        <v>1</v>
      </c>
      <c r="O33" s="19">
        <f>IF(E33="","",COUNTIF('Классный журнал'!F33:IV33,1))</f>
        <v>0</v>
      </c>
      <c r="P33" s="19">
        <f>IF(E33="",0,COUNTIF('Классный журнал'!F33:IV33,"н/б"))</f>
        <v>5</v>
      </c>
      <c r="Q33" s="19">
        <f>IF(E33="",0,COUNTIF('Классный журнал'!F33:IV33,"н/у"))</f>
        <v>0</v>
      </c>
      <c r="R33" s="19">
        <f>IF(E33="",0,COUNTIF('Классный журнал'!F33:IV33,"н"))</f>
        <v>0</v>
      </c>
      <c r="S33" s="19">
        <f t="shared" si="6"/>
        <v>5</v>
      </c>
      <c r="T33" s="49">
        <f t="shared" si="7"/>
        <v>3</v>
      </c>
      <c r="V33" s="1"/>
      <c r="W33" s="1"/>
      <c r="X33" s="1"/>
    </row>
    <row r="34" spans="1:24" ht="24" customHeight="1">
      <c r="A34" s="281">
        <f>IF(AND('Классный журнал'!C34="-",'Классный журнал'!D34&lt;=$J$5),-1,IF(AND('Классный журнал'!C34="-",'Классный журнал'!D34&gt;$J$5),"x",IF('Классный журнал'!C34="+",1,0)))</f>
        <v>0</v>
      </c>
      <c r="B34" s="126">
        <f t="shared" si="0"/>
      </c>
      <c r="C34" s="126">
        <f t="shared" si="1"/>
      </c>
      <c r="D34" s="22">
        <v>26</v>
      </c>
      <c r="E34" s="50" t="str">
        <f>IF('Классный журнал'!E34="","",IF(OR(A34=-1,A34="x"),"",IF(A34=1,'Классный журнал'!E34,'Классный журнал'!E34)))</f>
        <v>Савинов Александр</v>
      </c>
      <c r="F34" s="19">
        <f t="shared" si="2"/>
        <v>7</v>
      </c>
      <c r="G34" s="19">
        <f t="shared" si="3"/>
        <v>34</v>
      </c>
      <c r="H34" s="23">
        <f t="shared" si="8"/>
        <v>4.857142857142857</v>
      </c>
      <c r="I34" s="24">
        <f t="shared" si="4"/>
        <v>2</v>
      </c>
      <c r="J34" s="24">
        <f t="shared" si="5"/>
        <v>2</v>
      </c>
      <c r="K34" s="19">
        <f>IF(E34="","",COUNTIF('Классный журнал'!F34:IV34,5))</f>
        <v>6</v>
      </c>
      <c r="L34" s="19">
        <f>IF(E34="","",COUNTIF('Классный журнал'!F34:IV34,4))</f>
        <v>1</v>
      </c>
      <c r="M34" s="19">
        <f>IF(E34="","",COUNTIF('Классный журнал'!F34:IV34,3))</f>
        <v>0</v>
      </c>
      <c r="N34" s="19">
        <f>IF(E34="","",COUNTIF('Классный журнал'!F34:IV34,2))</f>
        <v>0</v>
      </c>
      <c r="O34" s="19">
        <f>IF(E34="","",COUNTIF('Классный журнал'!F34:IV34,1))</f>
        <v>0</v>
      </c>
      <c r="P34" s="19">
        <f>IF(E34="",0,COUNTIF('Классный журнал'!F34:IV34,"н/б"))</f>
        <v>2</v>
      </c>
      <c r="Q34" s="19">
        <f>IF(E34="",0,COUNTIF('Классный журнал'!F34:IV34,"н/у"))</f>
        <v>3</v>
      </c>
      <c r="R34" s="19">
        <f>IF(E34="",0,COUNTIF('Классный журнал'!F34:IV34,"н"))</f>
        <v>1</v>
      </c>
      <c r="S34" s="19">
        <f t="shared" si="6"/>
        <v>6</v>
      </c>
      <c r="T34" s="49">
        <f t="shared" si="7"/>
        <v>5</v>
      </c>
      <c r="V34" s="1"/>
      <c r="W34" s="1"/>
      <c r="X34" s="1"/>
    </row>
    <row r="35" spans="1:23" ht="24" customHeight="1" thickBot="1">
      <c r="A35" s="281">
        <f>IF(AND('Классный журнал'!C35="-",'Классный журнал'!D35&lt;=$J$5),-1,IF(AND('Классный журнал'!C35="-",'Классный журнал'!D35&gt;$J$5),"x",IF('Классный журнал'!C35="+",1,0)))</f>
        <v>0</v>
      </c>
      <c r="B35" s="126">
        <f t="shared" si="0"/>
      </c>
      <c r="C35" s="126">
        <f t="shared" si="1"/>
      </c>
      <c r="D35" s="22">
        <v>27</v>
      </c>
      <c r="E35" s="50" t="str">
        <f>IF('Классный журнал'!E35="","",IF(OR(A35=-1,A35="x"),"",IF(A35=1,'Классный журнал'!E35,'Классный журнал'!E35)))</f>
        <v>Фадеева Виктория</v>
      </c>
      <c r="F35" s="19">
        <f t="shared" si="2"/>
        <v>7</v>
      </c>
      <c r="G35" s="19">
        <f t="shared" si="3"/>
        <v>19</v>
      </c>
      <c r="H35" s="23">
        <f t="shared" si="8"/>
        <v>2.7142857142857144</v>
      </c>
      <c r="I35" s="24">
        <f t="shared" si="4"/>
        <v>18</v>
      </c>
      <c r="J35" s="24">
        <f t="shared" si="5"/>
        <v>18</v>
      </c>
      <c r="K35" s="19">
        <f>IF(E35="","",COUNTIF('Классный журнал'!F35:IV35,5))</f>
        <v>0</v>
      </c>
      <c r="L35" s="19">
        <f>IF(E35="","",COUNTIF('Классный журнал'!F35:IV35,4))</f>
        <v>1</v>
      </c>
      <c r="M35" s="19">
        <f>IF(E35="","",COUNTIF('Классный журнал'!F35:IV35,3))</f>
        <v>3</v>
      </c>
      <c r="N35" s="19">
        <f>IF(E35="","",COUNTIF('Классный журнал'!F35:IV35,2))</f>
        <v>3</v>
      </c>
      <c r="O35" s="19">
        <f>IF(E35="","",COUNTIF('Классный журнал'!F35:IV35,1))</f>
        <v>0</v>
      </c>
      <c r="P35" s="19">
        <f>IF(E35="",0,COUNTIF('Классный журнал'!F35:IV35,"н/б"))</f>
        <v>0</v>
      </c>
      <c r="Q35" s="19">
        <f>IF(E35="",0,COUNTIF('Классный журнал'!F35:IV35,"н/у"))</f>
        <v>0</v>
      </c>
      <c r="R35" s="19">
        <f>IF(E35="",0,COUNTIF('Классный журнал'!F35:IV35,"н"))</f>
        <v>0</v>
      </c>
      <c r="S35" s="19">
        <f t="shared" si="6"/>
        <v>0</v>
      </c>
      <c r="T35" s="49">
        <f t="shared" si="7"/>
        <v>3</v>
      </c>
      <c r="W35" s="1"/>
    </row>
    <row r="36" spans="1:24" ht="24" customHeight="1" thickTop="1">
      <c r="A36" s="281">
        <f>IF(AND('Классный журнал'!C36="-",'Классный журнал'!D36&lt;=$J$5),-1,IF(AND('Классный журнал'!C36="-",'Классный журнал'!D36&gt;$J$5),"x",IF('Классный журнал'!C36="+",1,0)))</f>
        <v>0</v>
      </c>
      <c r="B36" s="126" t="str">
        <f t="shared" si="0"/>
        <v>x</v>
      </c>
      <c r="C36" s="126">
        <f t="shared" si="1"/>
      </c>
      <c r="D36" s="22">
        <v>28</v>
      </c>
      <c r="E36" s="50" t="str">
        <f>IF('Классный журнал'!E36="","",IF(OR(A36=-1,A36="x"),"",IF(A36=1,'Классный журнал'!E36,'Классный журнал'!E36)))</f>
        <v>Шестопалова Алёна</v>
      </c>
      <c r="F36" s="19">
        <f t="shared" si="2"/>
        <v>6</v>
      </c>
      <c r="G36" s="19">
        <f t="shared" si="3"/>
        <v>16</v>
      </c>
      <c r="H36" s="23">
        <f t="shared" si="8"/>
        <v>2.6666666666666665</v>
      </c>
      <c r="I36" s="24">
        <f t="shared" si="4"/>
        <v>19</v>
      </c>
      <c r="J36" s="24">
        <f t="shared" si="5"/>
        <v>19</v>
      </c>
      <c r="K36" s="19">
        <f>IF(E36="","",COUNTIF('Классный журнал'!F36:IV36,5))</f>
        <v>0</v>
      </c>
      <c r="L36" s="19">
        <f>IF(E36="","",COUNTIF('Классный журнал'!F36:IV36,4))</f>
        <v>0</v>
      </c>
      <c r="M36" s="19">
        <f>IF(E36="","",COUNTIF('Классный журнал'!F36:IV36,3))</f>
        <v>4</v>
      </c>
      <c r="N36" s="19">
        <f>IF(E36="","",COUNTIF('Классный журнал'!F36:IV36,2))</f>
        <v>2</v>
      </c>
      <c r="O36" s="19">
        <f>IF(E36="","",COUNTIF('Классный журнал'!F36:IV36,1))</f>
        <v>0</v>
      </c>
      <c r="P36" s="19">
        <f>IF(E36="",0,COUNTIF('Классный журнал'!F36:IV36,"н/б"))</f>
        <v>5</v>
      </c>
      <c r="Q36" s="19">
        <f>IF(E36="",0,COUNTIF('Классный журнал'!F36:IV36,"н/у"))</f>
        <v>0</v>
      </c>
      <c r="R36" s="19">
        <f>IF(E36="",0,COUNTIF('Классный журнал'!F36:IV36,"н"))</f>
        <v>1</v>
      </c>
      <c r="S36" s="19">
        <f t="shared" si="6"/>
        <v>6</v>
      </c>
      <c r="T36" s="49">
        <f t="shared" si="7"/>
        <v>3</v>
      </c>
      <c r="V36" s="328" t="s">
        <v>222</v>
      </c>
      <c r="W36" s="86" t="s">
        <v>40</v>
      </c>
      <c r="X36" s="15">
        <f>COUNTIF(T9:T43,"5")</f>
        <v>2</v>
      </c>
    </row>
    <row r="37" spans="1:28" ht="24" customHeight="1">
      <c r="A37" s="281">
        <f>IF(AND('Классный журнал'!C37="-",'Классный журнал'!D37&lt;=$J$5),-1,IF(AND('Классный журнал'!C37="-",'Классный журнал'!D37&gt;$J$5),"x",IF('Классный журнал'!C37="+",1,0)))</f>
        <v>1</v>
      </c>
      <c r="B37" s="126">
        <f t="shared" si="0"/>
      </c>
      <c r="C37" s="126">
        <f t="shared" si="1"/>
      </c>
      <c r="D37" s="22">
        <v>29</v>
      </c>
      <c r="E37" s="50" t="str">
        <f>IF('Классный журнал'!E37="","",IF(OR(A37=-1,A37="x"),"",IF(A37=1,'Классный журнал'!E37,'Классный журнал'!E37)))</f>
        <v>Егоров Иван</v>
      </c>
      <c r="F37" s="19">
        <f t="shared" si="2"/>
        <v>7</v>
      </c>
      <c r="G37" s="19">
        <f t="shared" si="3"/>
        <v>25</v>
      </c>
      <c r="H37" s="23">
        <f t="shared" si="8"/>
        <v>3.5714285714285716</v>
      </c>
      <c r="I37" s="24">
        <f t="shared" si="4"/>
        <v>9</v>
      </c>
      <c r="J37" s="24">
        <f t="shared" si="5"/>
        <v>9</v>
      </c>
      <c r="K37" s="19">
        <f>IF(E37="","",COUNTIF('Классный журнал'!F37:IV37,5))</f>
        <v>1</v>
      </c>
      <c r="L37" s="19">
        <f>IF(E37="","",COUNTIF('Классный журнал'!F37:IV37,4))</f>
        <v>2</v>
      </c>
      <c r="M37" s="19">
        <f>IF(E37="","",COUNTIF('Классный журнал'!F37:IV37,3))</f>
        <v>4</v>
      </c>
      <c r="N37" s="19">
        <f>IF(E37="","",COUNTIF('Классный журнал'!F37:IV37,2))</f>
        <v>0</v>
      </c>
      <c r="O37" s="19">
        <f>IF(E37="","",COUNTIF('Классный журнал'!F37:IV37,1))</f>
        <v>0</v>
      </c>
      <c r="P37" s="19">
        <f>IF(E37="",0,COUNTIF('Классный журнал'!F37:IV37,"н/б"))</f>
        <v>0</v>
      </c>
      <c r="Q37" s="19">
        <f>IF(E37="",0,COUNTIF('Классный журнал'!F37:IV37,"н/у"))</f>
        <v>0</v>
      </c>
      <c r="R37" s="19">
        <f>IF(E37="",0,COUNTIF('Классный журнал'!F37:IV37,"н"))</f>
        <v>0</v>
      </c>
      <c r="S37" s="19">
        <f t="shared" si="6"/>
        <v>0</v>
      </c>
      <c r="T37" s="49">
        <f t="shared" si="7"/>
        <v>3</v>
      </c>
      <c r="V37" s="329"/>
      <c r="W37" s="22" t="s">
        <v>41</v>
      </c>
      <c r="X37" s="21">
        <f>COUNTIF(T9:T43,"4")</f>
        <v>5</v>
      </c>
      <c r="AB37" t="str">
        <f>IF('Классный журнал'!E37="","",'Классный журнал'!E37)</f>
        <v>Егоров Иван</v>
      </c>
    </row>
    <row r="38" spans="1:28" ht="24" customHeight="1">
      <c r="A38" s="281">
        <f>IF(AND('Классный журнал'!C38="-",'Классный журнал'!D38&lt;=$J$5),-1,IF(AND('Классный журнал'!C38="-",'Классный журнал'!D38&gt;$J$5),"x",IF('Классный журнал'!C38="+",1,0)))</f>
        <v>0</v>
      </c>
      <c r="B38" s="126">
        <f t="shared" si="0"/>
      </c>
      <c r="C38" s="126">
        <f t="shared" si="1"/>
      </c>
      <c r="D38" s="22">
        <v>30</v>
      </c>
      <c r="E38" s="50">
        <f>IF('Классный журнал'!E38="","",IF(OR(A38=-1,A38="x"),"",IF(A38=1,'Классный журнал'!E38,'Классный журнал'!E38)))</f>
      </c>
      <c r="F38" s="19">
        <f t="shared" si="2"/>
        <v>0</v>
      </c>
      <c r="G38" s="19">
        <f t="shared" si="3"/>
        <v>0</v>
      </c>
      <c r="H38" s="23">
        <f t="shared" si="8"/>
      </c>
      <c r="I38" s="24">
        <f t="shared" si="4"/>
      </c>
      <c r="J38" s="24">
        <f t="shared" si="5"/>
      </c>
      <c r="K38" s="19">
        <f>IF(E38="","",COUNTIF('Классный журнал'!F38:IV38,5))</f>
      </c>
      <c r="L38" s="19">
        <f>IF(E38="","",COUNTIF('Классный журнал'!F38:IV38,4))</f>
      </c>
      <c r="M38" s="19">
        <f>IF(E38="","",COUNTIF('Классный журнал'!F38:IV38,3))</f>
      </c>
      <c r="N38" s="19">
        <f>IF(E38="","",COUNTIF('Классный журнал'!F38:IV38,2))</f>
      </c>
      <c r="O38" s="19">
        <f>IF(E38="","",COUNTIF('Классный журнал'!F38:IV38,1))</f>
      </c>
      <c r="P38" s="19">
        <f>IF(E38="",0,COUNTIF('Классный журнал'!F38:IV38,"н/б"))</f>
        <v>0</v>
      </c>
      <c r="Q38" s="19">
        <f>IF(E38="",0,COUNTIF('Классный журнал'!F38:IV38,"н/у"))</f>
        <v>0</v>
      </c>
      <c r="R38" s="19">
        <f>IF(E38="",0,COUNTIF('Классный журнал'!F38:IV38,"н"))</f>
        <v>0</v>
      </c>
      <c r="S38" s="19">
        <f t="shared" si="6"/>
      </c>
      <c r="T38" s="49">
        <f t="shared" si="7"/>
      </c>
      <c r="V38" s="329"/>
      <c r="W38" s="22" t="s">
        <v>42</v>
      </c>
      <c r="X38" s="21">
        <f>COUNTIF(T9:T43,"3")</f>
        <v>15</v>
      </c>
      <c r="AB38">
        <f>IF('Классный журнал'!E38="","",'Классный журнал'!E38)</f>
      </c>
    </row>
    <row r="39" spans="1:28" ht="24" customHeight="1">
      <c r="A39" s="281">
        <f>IF(AND('Классный журнал'!C39="-",'Классный журнал'!D39&lt;=$J$5),-1,IF(AND('Классный журнал'!C39="-",'Классный журнал'!D39&gt;$J$5),"x",IF('Классный журнал'!C39="+",1,0)))</f>
        <v>0</v>
      </c>
      <c r="B39" s="126">
        <f t="shared" si="0"/>
      </c>
      <c r="C39" s="126">
        <f t="shared" si="1"/>
      </c>
      <c r="D39" s="22">
        <v>31</v>
      </c>
      <c r="E39" s="50">
        <f>IF('Классный журнал'!E39="","",IF(OR(A39=-1,A39="x"),"",IF(A39=1,'Классный журнал'!E39,'Классный журнал'!E39)))</f>
      </c>
      <c r="F39" s="19">
        <f t="shared" si="2"/>
        <v>0</v>
      </c>
      <c r="G39" s="19">
        <f t="shared" si="3"/>
        <v>0</v>
      </c>
      <c r="H39" s="23">
        <f t="shared" si="8"/>
      </c>
      <c r="I39" s="24">
        <f t="shared" si="4"/>
      </c>
      <c r="J39" s="24">
        <f t="shared" si="5"/>
      </c>
      <c r="K39" s="19">
        <f>IF(E39="","",COUNTIF('Классный журнал'!F39:IV39,5))</f>
      </c>
      <c r="L39" s="19">
        <f>IF(E39="","",COUNTIF('Классный журнал'!F39:IV39,4))</f>
      </c>
      <c r="M39" s="19">
        <f>IF(E39="","",COUNTIF('Классный журнал'!F39:IV39,3))</f>
      </c>
      <c r="N39" s="19">
        <f>IF(E39="","",COUNTIF('Классный журнал'!F39:IV39,2))</f>
      </c>
      <c r="O39" s="19">
        <f>IF(E39="","",COUNTIF('Классный журнал'!F39:IV39,1))</f>
      </c>
      <c r="P39" s="19">
        <f>IF(E39="",0,COUNTIF('Классный журнал'!F39:IV39,"н/б"))</f>
        <v>0</v>
      </c>
      <c r="Q39" s="19">
        <f>IF(E39="",0,COUNTIF('Классный журнал'!F39:IV39,"н/у"))</f>
        <v>0</v>
      </c>
      <c r="R39" s="19">
        <f>IF(E39="",0,COUNTIF('Классный журнал'!F39:IV39,"н"))</f>
        <v>0</v>
      </c>
      <c r="S39" s="19">
        <f t="shared" si="6"/>
      </c>
      <c r="T39" s="49">
        <f t="shared" si="7"/>
      </c>
      <c r="V39" s="329"/>
      <c r="W39" s="22" t="s">
        <v>43</v>
      </c>
      <c r="X39" s="21">
        <f>COUNTIF(T9:T43,"2")</f>
        <v>5</v>
      </c>
      <c r="AB39">
        <f>IF('Классный журнал'!E39="","",'Классный журнал'!E39)</f>
      </c>
    </row>
    <row r="40" spans="1:28" ht="24" customHeight="1" thickBot="1">
      <c r="A40" s="281">
        <f>IF(AND('Классный журнал'!C40="-",'Классный журнал'!D40&lt;=$J$5),-1,IF(AND('Классный журнал'!C40="-",'Классный журнал'!D40&gt;$J$5),"x",IF('Классный журнал'!C40="+",1,0)))</f>
        <v>0</v>
      </c>
      <c r="B40" s="126">
        <f t="shared" si="0"/>
      </c>
      <c r="C40" s="126">
        <f t="shared" si="1"/>
      </c>
      <c r="D40" s="22">
        <v>32</v>
      </c>
      <c r="E40" s="50">
        <f>IF('Классный журнал'!E40="","",IF(OR(A40=-1,A40="x"),"",IF(A40=1,'Классный журнал'!E40,'Классный журнал'!E40)))</f>
      </c>
      <c r="F40" s="19">
        <f t="shared" si="2"/>
        <v>0</v>
      </c>
      <c r="G40" s="19">
        <f t="shared" si="3"/>
        <v>0</v>
      </c>
      <c r="H40" s="23">
        <f t="shared" si="8"/>
      </c>
      <c r="I40" s="24">
        <f t="shared" si="4"/>
      </c>
      <c r="J40" s="24">
        <f t="shared" si="5"/>
      </c>
      <c r="K40" s="19">
        <f>IF(E40="","",COUNTIF('Классный журнал'!F40:IV40,5))</f>
      </c>
      <c r="L40" s="19">
        <f>IF(E40="","",COUNTIF('Классный журнал'!F40:IV40,4))</f>
      </c>
      <c r="M40" s="19">
        <f>IF(E40="","",COUNTIF('Классный журнал'!F40:IV40,3))</f>
      </c>
      <c r="N40" s="19">
        <f>IF(E40="","",COUNTIF('Классный журнал'!F40:IV40,2))</f>
      </c>
      <c r="O40" s="19">
        <f>IF(E40="","",COUNTIF('Классный журнал'!F40:IV40,1))</f>
      </c>
      <c r="P40" s="19">
        <f>IF(E40="",0,COUNTIF('Классный журнал'!F40:IV40,"н/б"))</f>
        <v>0</v>
      </c>
      <c r="Q40" s="19">
        <f>IF(E40="",0,COUNTIF('Классный журнал'!F40:IV40,"н/у"))</f>
        <v>0</v>
      </c>
      <c r="R40" s="19">
        <f>IF(E40="",0,COUNTIF('Классный журнал'!F40:IV40,"н"))</f>
        <v>0</v>
      </c>
      <c r="S40" s="19">
        <f t="shared" si="6"/>
      </c>
      <c r="T40" s="49">
        <f t="shared" si="7"/>
      </c>
      <c r="V40" s="351"/>
      <c r="W40" s="87" t="s">
        <v>44</v>
      </c>
      <c r="X40" s="30">
        <f>COUNTIF(T9:T43,"1")</f>
        <v>0</v>
      </c>
      <c r="AB40">
        <f>IF('Классный журнал'!E40="","",'Классный журнал'!E40)</f>
      </c>
    </row>
    <row r="41" spans="1:28" ht="24" customHeight="1" thickTop="1">
      <c r="A41" s="281">
        <f>IF(AND('Классный журнал'!C41="-",'Классный журнал'!D41&lt;=$J$5),-1,IF(AND('Классный журнал'!C41="-",'Классный журнал'!D41&gt;$J$5),"x",IF('Классный журнал'!C41="+",1,0)))</f>
        <v>0</v>
      </c>
      <c r="B41" s="126">
        <f t="shared" si="0"/>
      </c>
      <c r="C41" s="126">
        <f t="shared" si="1"/>
      </c>
      <c r="D41" s="22">
        <v>33</v>
      </c>
      <c r="E41" s="50">
        <f>IF('Классный журнал'!E41="","",IF(OR(A41=-1,A41="x"),"",IF(A41=1,'Классный журнал'!E41,'Классный журнал'!E41)))</f>
      </c>
      <c r="F41" s="19">
        <f t="shared" si="2"/>
        <v>0</v>
      </c>
      <c r="G41" s="19">
        <f t="shared" si="3"/>
        <v>0</v>
      </c>
      <c r="H41" s="23">
        <f t="shared" si="8"/>
      </c>
      <c r="I41" s="24">
        <f t="shared" si="4"/>
      </c>
      <c r="J41" s="24">
        <f t="shared" si="5"/>
      </c>
      <c r="K41" s="19">
        <f>IF(E41="","",COUNTIF('Классный журнал'!F41:IV41,5))</f>
      </c>
      <c r="L41" s="19">
        <f>IF(E41="","",COUNTIF('Классный журнал'!F41:IV41,4))</f>
      </c>
      <c r="M41" s="19">
        <f>IF(E41="","",COUNTIF('Классный журнал'!F41:IV41,3))</f>
      </c>
      <c r="N41" s="19">
        <f>IF(E41="","",COUNTIF('Классный журнал'!F41:IV41,2))</f>
      </c>
      <c r="O41" s="19">
        <f>IF(E41="","",COUNTIF('Классный журнал'!F41:IV41,1))</f>
      </c>
      <c r="P41" s="19">
        <f>IF(E41="",0,COUNTIF('Классный журнал'!F41:IV41,"н/б"))</f>
        <v>0</v>
      </c>
      <c r="Q41" s="19">
        <f>IF(E41="",0,COUNTIF('Классный журнал'!F41:IV41,"н/у"))</f>
        <v>0</v>
      </c>
      <c r="R41" s="19">
        <f>IF(E41="",0,COUNTIF('Классный журнал'!F41:IV41,"н"))</f>
        <v>0</v>
      </c>
      <c r="S41" s="19">
        <f t="shared" si="6"/>
      </c>
      <c r="T41" s="49">
        <f t="shared" si="7"/>
      </c>
      <c r="V41" s="354" t="s">
        <v>199</v>
      </c>
      <c r="W41" s="355"/>
      <c r="X41" s="115">
        <f>35-(COUNTIF(T9:T43,"н/а")+COUNTIF(T9:T43,""))</f>
        <v>27</v>
      </c>
      <c r="AB41">
        <f>IF('Классный журнал'!E41="","",'Классный журнал'!E41)</f>
      </c>
    </row>
    <row r="42" spans="1:28" ht="24" customHeight="1">
      <c r="A42" s="281">
        <f>IF(AND('Классный журнал'!C42="-",'Классный журнал'!D42&lt;=$J$5),-1,IF(AND('Классный журнал'!C42="-",'Классный журнал'!D42&gt;$J$5),"x",IF('Классный журнал'!C42="+",1,0)))</f>
        <v>0</v>
      </c>
      <c r="B42" s="126">
        <f t="shared" si="0"/>
      </c>
      <c r="C42" s="126">
        <f t="shared" si="1"/>
      </c>
      <c r="D42" s="22">
        <v>34</v>
      </c>
      <c r="E42" s="50">
        <f>IF('Классный журнал'!E42="","",IF(OR(A42=-1,A42="x"),"",IF(A42=1,'Классный журнал'!E42,'Классный журнал'!E42)))</f>
      </c>
      <c r="F42" s="19">
        <f t="shared" si="2"/>
        <v>0</v>
      </c>
      <c r="G42" s="19">
        <f t="shared" si="3"/>
        <v>0</v>
      </c>
      <c r="H42" s="23">
        <f t="shared" si="8"/>
      </c>
      <c r="I42" s="24">
        <f t="shared" si="4"/>
      </c>
      <c r="J42" s="24">
        <f t="shared" si="5"/>
      </c>
      <c r="K42" s="19">
        <f>IF(E42="","",COUNTIF('Классный журнал'!F42:IV42,5))</f>
      </c>
      <c r="L42" s="19">
        <f>IF(E42="","",COUNTIF('Классный журнал'!F42:IV42,4))</f>
      </c>
      <c r="M42" s="19">
        <f>IF(E42="","",COUNTIF('Классный журнал'!F42:IV42,3))</f>
      </c>
      <c r="N42" s="19">
        <f>IF(E42="","",COUNTIF('Классный журнал'!F42:IV42,2))</f>
      </c>
      <c r="O42" s="19">
        <f>IF(E42="","",COUNTIF('Классный журнал'!F42:IV42,1))</f>
      </c>
      <c r="P42" s="19">
        <f>IF(E42="",0,COUNTIF('Классный журнал'!F42:IV42,"н/б"))</f>
        <v>0</v>
      </c>
      <c r="Q42" s="19">
        <f>IF(E42="",0,COUNTIF('Классный журнал'!F42:IV42,"н/у"))</f>
        <v>0</v>
      </c>
      <c r="R42" s="19">
        <f>IF(E42="",0,COUNTIF('Классный журнал'!F42:IV42,"н"))</f>
        <v>0</v>
      </c>
      <c r="S42" s="19">
        <f t="shared" si="6"/>
      </c>
      <c r="T42" s="49">
        <f t="shared" si="7"/>
      </c>
      <c r="V42" s="332" t="s">
        <v>78</v>
      </c>
      <c r="W42" s="333"/>
      <c r="X42" s="32">
        <f>(X36+X37+X38)/X41</f>
        <v>0.8148148148148148</v>
      </c>
      <c r="AB42">
        <f>IF('Классный журнал'!E42="","",'Классный журнал'!E42)</f>
      </c>
    </row>
    <row r="43" spans="1:28" ht="24" customHeight="1">
      <c r="A43" s="281">
        <f>IF(AND('Классный журнал'!C43="-",'Классный журнал'!D43&lt;=$J$5),-1,IF(AND('Классный журнал'!C43="-",'Классный журнал'!D43&gt;$J$5),"x",IF('Классный журнал'!C43="+",1,0)))</f>
        <v>0</v>
      </c>
      <c r="B43" s="126">
        <f t="shared" si="0"/>
      </c>
      <c r="C43" s="126">
        <f t="shared" si="1"/>
      </c>
      <c r="D43" s="22">
        <v>35</v>
      </c>
      <c r="E43" s="50">
        <f>IF('Классный журнал'!E43="","",IF(OR(A43=-1,A43="x"),"",IF(A43=1,'Классный журнал'!E43,'Классный журнал'!E43)))</f>
      </c>
      <c r="F43" s="19">
        <f t="shared" si="2"/>
        <v>0</v>
      </c>
      <c r="G43" s="19">
        <f t="shared" si="3"/>
        <v>0</v>
      </c>
      <c r="H43" s="23">
        <f t="shared" si="8"/>
      </c>
      <c r="I43" s="24">
        <f t="shared" si="4"/>
      </c>
      <c r="J43" s="24">
        <f t="shared" si="5"/>
      </c>
      <c r="K43" s="19">
        <f>IF(E43="","",COUNTIF('Классный журнал'!F43:IV43,5))</f>
      </c>
      <c r="L43" s="19">
        <f>IF(E43="","",COUNTIF('Классный журнал'!F43:IV43,4))</f>
      </c>
      <c r="M43" s="19">
        <f>IF(E43="","",COUNTIF('Классный журнал'!F43:IV43,3))</f>
      </c>
      <c r="N43" s="19">
        <f>IF(E43="","",COUNTIF('Классный журнал'!F43:IV43,2))</f>
      </c>
      <c r="O43" s="19">
        <f>IF(E43="","",COUNTIF('Классный журнал'!F43:IV43,1))</f>
      </c>
      <c r="P43" s="19">
        <f>IF(E43="",0,COUNTIF('Классный журнал'!F43:IV43,"н/б"))</f>
        <v>0</v>
      </c>
      <c r="Q43" s="19">
        <f>IF(E43="",0,COUNTIF('Классный журнал'!F43:IV43,"н/у"))</f>
        <v>0</v>
      </c>
      <c r="R43" s="19">
        <f>IF(E43="",0,COUNTIF('Классный журнал'!F43:IV43,"н"))</f>
        <v>0</v>
      </c>
      <c r="S43" s="19">
        <f t="shared" si="6"/>
      </c>
      <c r="T43" s="49">
        <f t="shared" si="7"/>
      </c>
      <c r="V43" s="332" t="s">
        <v>79</v>
      </c>
      <c r="W43" s="333"/>
      <c r="X43" s="32">
        <f>(X36+X37)/X41</f>
        <v>0.25925925925925924</v>
      </c>
      <c r="AB43">
        <f>IF('Классный журнал'!E43="","",'Классный журнал'!E43)</f>
      </c>
    </row>
    <row r="44" spans="1:24" ht="18.75" customHeight="1" thickBot="1">
      <c r="A44" s="78"/>
      <c r="B44" s="81"/>
      <c r="C44" s="82"/>
      <c r="D44" s="87"/>
      <c r="E44" s="52"/>
      <c r="F44" s="326" t="s">
        <v>49</v>
      </c>
      <c r="G44" s="327"/>
      <c r="H44" s="127">
        <f>SUM(H9:H43)/D8</f>
        <v>3.1988536155202816</v>
      </c>
      <c r="I44" s="52"/>
      <c r="J44" s="51" t="s">
        <v>50</v>
      </c>
      <c r="K44" s="42">
        <f aca="true" t="shared" si="9" ref="K44:S44">SUM(K9:K43)</f>
        <v>26</v>
      </c>
      <c r="L44" s="42">
        <f t="shared" si="9"/>
        <v>38</v>
      </c>
      <c r="M44" s="42">
        <f t="shared" si="9"/>
        <v>80</v>
      </c>
      <c r="N44" s="42">
        <f t="shared" si="9"/>
        <v>35</v>
      </c>
      <c r="O44" s="42">
        <f t="shared" si="9"/>
        <v>7</v>
      </c>
      <c r="P44" s="128">
        <f t="shared" si="9"/>
        <v>23</v>
      </c>
      <c r="Q44" s="42">
        <f t="shared" si="9"/>
        <v>11</v>
      </c>
      <c r="R44" s="42">
        <f t="shared" si="9"/>
        <v>28</v>
      </c>
      <c r="S44" s="60">
        <f t="shared" si="9"/>
        <v>62</v>
      </c>
      <c r="T44" s="43"/>
      <c r="V44" s="322" t="s">
        <v>80</v>
      </c>
      <c r="W44" s="323"/>
      <c r="X44" s="134">
        <f>(X36+X37*0.64+X38*0.36+(X39+X40)*0.16)/X41</f>
        <v>0.4222222222222222</v>
      </c>
    </row>
    <row r="45" spans="2:23" ht="24" customHeight="1" thickTop="1">
      <c r="B45" s="1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32"/>
      <c r="R45" s="132"/>
      <c r="S45" s="132"/>
      <c r="T45" s="84"/>
      <c r="W45" s="1"/>
    </row>
    <row r="46" spans="2:20" ht="24" customHeight="1">
      <c r="B46" s="1"/>
      <c r="C46" s="3"/>
      <c r="D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85"/>
      <c r="R46" s="85"/>
      <c r="S46" s="85"/>
      <c r="T46" s="85"/>
    </row>
    <row r="47" spans="2:21" ht="24" customHeight="1" hidden="1">
      <c r="B47" s="1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P47" s="2"/>
      <c r="Q47" s="85"/>
      <c r="R47" s="85"/>
      <c r="S47" s="85"/>
      <c r="T47" s="85"/>
      <c r="U47" s="38"/>
    </row>
    <row r="48" spans="2:21" ht="24" customHeight="1" hidden="1">
      <c r="B48" s="1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85"/>
      <c r="R48" s="85"/>
      <c r="S48" s="85"/>
      <c r="T48" s="85"/>
      <c r="U48" s="38"/>
    </row>
    <row r="49" spans="2:21" ht="24" customHeight="1" hidden="1">
      <c r="B49" s="1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85"/>
      <c r="R49" s="85"/>
      <c r="S49" s="85"/>
      <c r="T49" s="85"/>
      <c r="U49" s="38"/>
    </row>
    <row r="50" spans="2:21" ht="24" customHeight="1" hidden="1">
      <c r="B50" s="1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85"/>
      <c r="R50" s="85"/>
      <c r="S50" s="85"/>
      <c r="T50" s="85"/>
      <c r="U50" s="38"/>
    </row>
    <row r="51" spans="2:22" ht="24" customHeight="1" hidden="1">
      <c r="B51" s="1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U51" s="85"/>
      <c r="V51" s="85"/>
    </row>
    <row r="52" spans="2:16" ht="24" customHeight="1" hidden="1">
      <c r="B52" s="1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6" ht="24" customHeight="1" hidden="1">
      <c r="B53" s="1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20" ht="24" customHeight="1" hidden="1">
      <c r="B54" s="1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85"/>
      <c r="R54" s="85"/>
      <c r="S54" s="85"/>
      <c r="T54" s="7"/>
    </row>
    <row r="55" spans="2:23" ht="24" customHeight="1" hidden="1">
      <c r="B55" s="1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8"/>
      <c r="R55" s="38"/>
      <c r="S55" s="38"/>
      <c r="T55" s="54"/>
      <c r="U55" s="53"/>
      <c r="V55" s="83"/>
      <c r="W55" s="1"/>
    </row>
    <row r="56" spans="2:23" ht="24" customHeight="1" hidden="1">
      <c r="B56" s="1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8"/>
      <c r="R56" s="38"/>
      <c r="S56" s="38"/>
      <c r="T56" s="54"/>
      <c r="U56" s="53"/>
      <c r="V56" s="1"/>
      <c r="W56" s="1"/>
    </row>
    <row r="57" spans="2:23" ht="24" customHeight="1" hidden="1">
      <c r="B57" s="1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8"/>
      <c r="R57" s="38"/>
      <c r="S57" s="38"/>
      <c r="T57" s="54"/>
      <c r="U57" s="53"/>
      <c r="V57" s="1"/>
      <c r="W57" s="1"/>
    </row>
    <row r="58" spans="2:23" ht="42.75" customHeight="1" hidden="1">
      <c r="B58" s="1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T58" s="7"/>
      <c r="U58" s="53"/>
      <c r="V58" s="1"/>
      <c r="W58" s="1"/>
    </row>
    <row r="59" spans="2:23" ht="12.75" hidden="1">
      <c r="B59" s="1"/>
      <c r="Q59" s="1"/>
      <c r="U59" s="1"/>
      <c r="V59" s="1"/>
      <c r="W59" s="1"/>
    </row>
    <row r="60" spans="1:23" ht="12.75" hidden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  <c r="V60" s="1"/>
      <c r="W60" s="1"/>
    </row>
    <row r="61" spans="2:23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U61" s="1"/>
      <c r="V61" s="1"/>
      <c r="W61" s="1"/>
    </row>
    <row r="62" spans="2:23" ht="12.75" hidden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U62" s="1"/>
      <c r="V62" s="1"/>
      <c r="W62" s="1"/>
    </row>
    <row r="63" spans="2:19" ht="12.75" hidden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2:19" ht="18.75" thickBot="1">
      <c r="B64" s="5"/>
      <c r="C64" s="6"/>
      <c r="D64" s="5"/>
      <c r="E64" s="5"/>
      <c r="F64" s="5"/>
      <c r="G64" s="5"/>
      <c r="H64" s="5"/>
      <c r="I64" s="5"/>
      <c r="J64" s="5"/>
      <c r="K64" s="6"/>
      <c r="L64" s="5"/>
      <c r="M64" s="5"/>
      <c r="N64" s="5"/>
      <c r="O64" s="6"/>
      <c r="P64" s="5"/>
      <c r="Q64" s="1"/>
      <c r="R64" s="1"/>
      <c r="S64" s="1"/>
    </row>
    <row r="65" spans="2:20" ht="49.5" customHeight="1" thickBot="1" thickTop="1">
      <c r="B65" s="280">
        <f>SUM(F69:F103)/(COUNT(F69:F103)-COUNTIF(F69:F103,0))</f>
        <v>7.928571428571429</v>
      </c>
      <c r="C65" s="348" t="s">
        <v>221</v>
      </c>
      <c r="D65" s="48"/>
      <c r="E65" s="75" t="s">
        <v>214</v>
      </c>
      <c r="F65" s="76" t="s">
        <v>215</v>
      </c>
      <c r="G65" s="77" t="s">
        <v>225</v>
      </c>
      <c r="H65" s="324" t="s">
        <v>216</v>
      </c>
      <c r="I65" s="325"/>
      <c r="J65" s="114">
        <f>T5</f>
        <v>27</v>
      </c>
      <c r="K65" s="324" t="s">
        <v>217</v>
      </c>
      <c r="L65" s="340"/>
      <c r="M65" s="340"/>
      <c r="N65" s="79">
        <f>COUNTIF(A69:A103,1)-N5</f>
        <v>1</v>
      </c>
      <c r="O65" s="324" t="s">
        <v>218</v>
      </c>
      <c r="P65" s="340"/>
      <c r="Q65" s="79">
        <f>(COUNTIF(A69:A103,-1)+COUNTIF(A69:A103,"x"))-Q5</f>
        <v>0</v>
      </c>
      <c r="R65" s="341" t="s">
        <v>223</v>
      </c>
      <c r="S65" s="342"/>
      <c r="T65" s="79">
        <f>J65+N65-Q65</f>
        <v>28</v>
      </c>
    </row>
    <row r="66" spans="2:20" ht="19.5" thickBot="1" thickTop="1">
      <c r="B66" s="345" t="s">
        <v>220</v>
      </c>
      <c r="C66" s="349"/>
      <c r="D66" s="9"/>
      <c r="E66" s="10">
        <f ca="1">NOW()</f>
        <v>39252.589404398146</v>
      </c>
      <c r="F66" s="11" t="s">
        <v>226</v>
      </c>
      <c r="G66" s="343" t="s">
        <v>201</v>
      </c>
      <c r="H66" s="344"/>
      <c r="I66" s="344"/>
      <c r="J66" s="125">
        <v>8</v>
      </c>
      <c r="K66" s="343" t="s">
        <v>190</v>
      </c>
      <c r="L66" s="344"/>
      <c r="M66" s="344"/>
      <c r="N66" s="344"/>
      <c r="O66" s="125">
        <f>'Классный журнал'!$D$4</f>
        <v>2</v>
      </c>
      <c r="P66" s="339" t="s">
        <v>200</v>
      </c>
      <c r="Q66" s="339"/>
      <c r="R66" s="339"/>
      <c r="S66" s="46">
        <f>COUNT('Классный журнал'!F68:IV68)</f>
        <v>16</v>
      </c>
      <c r="T66" s="34" t="s">
        <v>35</v>
      </c>
    </row>
    <row r="67" spans="2:20" ht="54.75" customHeight="1" thickTop="1">
      <c r="B67" s="346"/>
      <c r="C67" s="349"/>
      <c r="D67" s="16" t="s">
        <v>1</v>
      </c>
      <c r="E67" s="17" t="str">
        <f>'Классный журнал'!E67</f>
        <v>Учащихся   28</v>
      </c>
      <c r="F67" s="17" t="s">
        <v>36</v>
      </c>
      <c r="G67" s="17" t="s">
        <v>37</v>
      </c>
      <c r="H67" s="17" t="s">
        <v>38</v>
      </c>
      <c r="I67" s="17" t="s">
        <v>233</v>
      </c>
      <c r="J67" s="17" t="s">
        <v>184</v>
      </c>
      <c r="K67" s="334" t="s">
        <v>185</v>
      </c>
      <c r="L67" s="335"/>
      <c r="M67" s="335"/>
      <c r="N67" s="335"/>
      <c r="O67" s="336"/>
      <c r="P67" s="334" t="s">
        <v>39</v>
      </c>
      <c r="Q67" s="335"/>
      <c r="R67" s="335"/>
      <c r="S67" s="336"/>
      <c r="T67" s="18" t="s">
        <v>232</v>
      </c>
    </row>
    <row r="68" spans="2:20" ht="18">
      <c r="B68" s="347"/>
      <c r="C68" s="350"/>
      <c r="D68" s="17">
        <f>35-COUNTBLANK(E69:E103)</f>
        <v>28</v>
      </c>
      <c r="E68" s="17" t="s">
        <v>2</v>
      </c>
      <c r="F68" s="17"/>
      <c r="G68" s="17"/>
      <c r="H68" s="91"/>
      <c r="I68" s="17"/>
      <c r="J68" s="17"/>
      <c r="K68" s="19" t="s">
        <v>40</v>
      </c>
      <c r="L68" s="19" t="s">
        <v>41</v>
      </c>
      <c r="M68" s="19" t="s">
        <v>42</v>
      </c>
      <c r="N68" s="19" t="s">
        <v>43</v>
      </c>
      <c r="O68" s="19" t="s">
        <v>44</v>
      </c>
      <c r="P68" s="20" t="s">
        <v>45</v>
      </c>
      <c r="Q68" s="20" t="s">
        <v>46</v>
      </c>
      <c r="R68" s="20" t="s">
        <v>47</v>
      </c>
      <c r="S68" s="19" t="s">
        <v>48</v>
      </c>
      <c r="T68" s="21"/>
    </row>
    <row r="69" spans="1:21" ht="23.25">
      <c r="A69" s="281">
        <f>IF(AND('Классный журнал'!C69="-",'Классный журнал'!D69&lt;=$J$5),-1,IF(AND('Классный журнал'!C69="-",'Классный журнал'!D69&gt;$J$5),"x",IF('Классный журнал'!C69="+",1,0)))</f>
        <v>0</v>
      </c>
      <c r="B69" s="126">
        <f>IF(E69="","",IF(ROUND($B$65,0)&lt;=F69,"",IF(ROUND($B$65,0)-F69=1,"x","XX")))</f>
      </c>
      <c r="C69" s="126">
        <f>IF(E69="","",IF(H69&lt;2.5,"!",""))</f>
      </c>
      <c r="D69" s="22">
        <v>1</v>
      </c>
      <c r="E69" s="50" t="str">
        <f>IF('Классный журнал'!E69="","",IF(OR(A69=-1,A69="x"),"",IF(A69=1,'Классный журнал'!E69,'Классный журнал'!E69)))</f>
        <v>Алексеева Настя</v>
      </c>
      <c r="F69" s="19">
        <f>IF(E69="",0,SUM(K69:O69))</f>
        <v>8</v>
      </c>
      <c r="G69" s="19">
        <f>IF(E69="",0,SUM(K69*5,L69*4,M69*3,N69*2,O69))</f>
        <v>25</v>
      </c>
      <c r="H69" s="23">
        <f>IF(E69="","",G69/F69)</f>
        <v>3.125</v>
      </c>
      <c r="I69" s="24">
        <f>IF(E69="","",RANK(H69,$H$69:$H$103,0))</f>
        <v>11</v>
      </c>
      <c r="J69" s="24">
        <f>IF(E69="","",RANK(U69,$U$69:$U$103,0))</f>
        <v>9</v>
      </c>
      <c r="K69" s="19">
        <f>IF(E69="","",COUNTIF('Классный журнал'!F69:IV69,5))</f>
        <v>1</v>
      </c>
      <c r="L69" s="19">
        <f>IF(E69="","",COUNTIF('Классный журнал'!F69:IV69,4))</f>
        <v>2</v>
      </c>
      <c r="M69" s="19">
        <f>IF(E69="","",COUNTIF('Классный журнал'!F69:IV69,3))</f>
        <v>3</v>
      </c>
      <c r="N69" s="19">
        <f>IF(E69="","",COUNTIF('Классный журнал'!F69:IV69,2))</f>
        <v>1</v>
      </c>
      <c r="O69" s="19">
        <f>IF(E69="","",COUNTIF('Классный журнал'!F69:IV69,1))</f>
        <v>1</v>
      </c>
      <c r="P69" s="19">
        <f>IF(E69="",0,COUNTIF('Классный журнал'!F69:IV69,"н/б"))</f>
        <v>0</v>
      </c>
      <c r="Q69" s="19">
        <f>IF(E69="",0,COUNTIF('Классный журнал'!F69:IV69,"н/у"))</f>
        <v>0</v>
      </c>
      <c r="R69" s="19">
        <f>IF(E69="",0,COUNTIF('Классный журнал'!F69:IV69,"н"))</f>
        <v>2</v>
      </c>
      <c r="S69" s="19">
        <f>IF(E69="","",SUM(P69:R69))</f>
        <v>2</v>
      </c>
      <c r="T69" s="49">
        <f>IF(E69="","",IF(F69&lt;($O$66*3),"н/а",IF(H69&gt;=4.8,5,IF(AND(3.7&lt;=H69,H69&lt;4.8),4,IF(AND(2.5&lt;=H69,H69&lt;3.7),3,IF(H69=0,"--",2))))))</f>
        <v>3</v>
      </c>
      <c r="U69" s="41">
        <f>IF(E69="","",(G9+G69)/(F9+F69))</f>
        <v>3.6</v>
      </c>
    </row>
    <row r="70" spans="1:21" ht="23.25">
      <c r="A70" s="281">
        <f>IF(AND('Классный журнал'!C70="-",'Классный журнал'!D70&lt;=$J$5),-1,IF(AND('Классный журнал'!C70="-",'Классный журнал'!D70&gt;$J$5),"x",IF('Классный журнал'!C70="+",1,0)))</f>
        <v>0</v>
      </c>
      <c r="B70" s="126">
        <f aca="true" t="shared" si="10" ref="B70:B103">IF(E70="","",IF(ROUND($B$65,0)&lt;=F70,"",IF(ROUND($B$65,0)-F70=1,"x","XX")))</f>
      </c>
      <c r="C70" s="126">
        <f aca="true" t="shared" si="11" ref="C70:C103">IF(E70="","",IF(H70&lt;2.5,"!",""))</f>
      </c>
      <c r="D70" s="22">
        <v>2</v>
      </c>
      <c r="E70" s="50" t="str">
        <f>IF('Классный журнал'!E70="","",IF(OR(A70=-1,A70="x"),"",IF(A70=1,'Классный журнал'!E70,'Классный журнал'!E70)))</f>
        <v>Богоутдинов Данил</v>
      </c>
      <c r="F70" s="19">
        <f aca="true" t="shared" si="12" ref="F70:F103">IF(E70="",0,SUM(K70:O70))</f>
        <v>8</v>
      </c>
      <c r="G70" s="19">
        <f aca="true" t="shared" si="13" ref="G70:G103">IF(E70="",0,SUM(K70*5,L70*4,M70*3,N70*2,O70))</f>
        <v>25</v>
      </c>
      <c r="H70" s="23">
        <f aca="true" t="shared" si="14" ref="H70:H103">IF(E70="","",G70/F70)</f>
        <v>3.125</v>
      </c>
      <c r="I70" s="24">
        <f aca="true" t="shared" si="15" ref="I70:I103">IF(E70="","",RANK(H70,$H$69:$H$103,0))</f>
        <v>11</v>
      </c>
      <c r="J70" s="24">
        <f aca="true" t="shared" si="16" ref="J70:J103">IF(E70="","",RANK(U70,$U$69:$U$103,0))</f>
        <v>12</v>
      </c>
      <c r="K70" s="19">
        <f>IF(E70="","",COUNTIF('Классный журнал'!F70:IV70,5))</f>
        <v>0</v>
      </c>
      <c r="L70" s="19">
        <f>IF(E70="","",COUNTIF('Классный журнал'!F70:IV70,4))</f>
        <v>3</v>
      </c>
      <c r="M70" s="19">
        <f>IF(E70="","",COUNTIF('Классный журнал'!F70:IV70,3))</f>
        <v>3</v>
      </c>
      <c r="N70" s="19">
        <f>IF(E70="","",COUNTIF('Классный журнал'!F70:IV70,2))</f>
        <v>2</v>
      </c>
      <c r="O70" s="19">
        <f>IF(E70="","",COUNTIF('Классный журнал'!F70:IV70,1))</f>
        <v>0</v>
      </c>
      <c r="P70" s="19">
        <f>IF(E70="",0,COUNTIF('Классный журнал'!F70:IV70,"н/б"))</f>
        <v>1</v>
      </c>
      <c r="Q70" s="19">
        <f>IF(E70="",0,COUNTIF('Классный журнал'!F70:IV70,"н/у"))</f>
        <v>1</v>
      </c>
      <c r="R70" s="19">
        <f>IF(E70="",0,COUNTIF('Классный журнал'!F70:IV70,"н"))</f>
        <v>2</v>
      </c>
      <c r="S70" s="19">
        <f aca="true" t="shared" si="17" ref="S70:S103">IF(E70="","",SUM(P70:R70))</f>
        <v>4</v>
      </c>
      <c r="T70" s="49">
        <f aca="true" t="shared" si="18" ref="T70:T103">IF(E70="","",IF(F70&lt;($O$66*3),"н/а",IF(H70&gt;=4.8,5,IF(AND(3.7&lt;=H70,H70&lt;4.8),4,IF(AND(2.5&lt;=H70,H70&lt;3.7),3,IF(H70=0,"--",2))))))</f>
        <v>3</v>
      </c>
      <c r="U70" s="41">
        <f>IF(E70="","",(G10+G70)/(F10+F70))</f>
        <v>3.3333333333333335</v>
      </c>
    </row>
    <row r="71" spans="1:21" ht="23.25">
      <c r="A71" s="281">
        <f>IF(AND('Классный журнал'!C71="-",'Классный журнал'!D71&lt;=$J$5),-1,IF(AND('Классный журнал'!C71="-",'Классный журнал'!D71&gt;$J$5),"x",IF('Классный журнал'!C71="+",1,0)))</f>
        <v>0</v>
      </c>
      <c r="B71" s="126">
        <f t="shared" si="10"/>
      </c>
      <c r="C71" s="126">
        <f t="shared" si="11"/>
      </c>
      <c r="D71" s="22">
        <v>3</v>
      </c>
      <c r="E71" s="50" t="str">
        <f>IF('Классный журнал'!E71="","",IF(OR(A71=-1,A71="x"),"",IF(A71=1,'Классный журнал'!E71,'Классный журнал'!E71)))</f>
        <v>Бавеян Рафик</v>
      </c>
      <c r="F71" s="19">
        <f t="shared" si="12"/>
        <v>8</v>
      </c>
      <c r="G71" s="19">
        <f t="shared" si="13"/>
        <v>25</v>
      </c>
      <c r="H71" s="23">
        <f t="shared" si="14"/>
        <v>3.125</v>
      </c>
      <c r="I71" s="24">
        <f t="shared" si="15"/>
        <v>11</v>
      </c>
      <c r="J71" s="24">
        <f t="shared" si="16"/>
        <v>16</v>
      </c>
      <c r="K71" s="19">
        <f>IF(E71="","",COUNTIF('Классный журнал'!F71:IV71,5))</f>
        <v>0</v>
      </c>
      <c r="L71" s="19">
        <f>IF(E71="","",COUNTIF('Классный журнал'!F71:IV71,4))</f>
        <v>2</v>
      </c>
      <c r="M71" s="19">
        <f>IF(E71="","",COUNTIF('Классный журнал'!F71:IV71,3))</f>
        <v>5</v>
      </c>
      <c r="N71" s="19">
        <f>IF(E71="","",COUNTIF('Классный журнал'!F71:IV71,2))</f>
        <v>1</v>
      </c>
      <c r="O71" s="19">
        <f>IF(E71="","",COUNTIF('Классный журнал'!F71:IV71,1))</f>
        <v>0</v>
      </c>
      <c r="P71" s="19">
        <f>IF(E71="",0,COUNTIF('Классный журнал'!F71:IV71,"н/б"))</f>
        <v>2</v>
      </c>
      <c r="Q71" s="19">
        <f>IF(E71="",0,COUNTIF('Классный журнал'!F71:IV71,"н/у"))</f>
        <v>0</v>
      </c>
      <c r="R71" s="19">
        <f>IF(E71="",0,COUNTIF('Классный журнал'!F71:IV71,"н"))</f>
        <v>0</v>
      </c>
      <c r="S71" s="19">
        <f t="shared" si="17"/>
        <v>2</v>
      </c>
      <c r="T71" s="49">
        <f t="shared" si="18"/>
        <v>3</v>
      </c>
      <c r="U71" s="41">
        <f aca="true" t="shared" si="19" ref="U71:U103">IF(E71="","",(G11+G71)/(F11+F71))</f>
        <v>2.9285714285714284</v>
      </c>
    </row>
    <row r="72" spans="1:21" ht="23.25">
      <c r="A72" s="281">
        <f>IF(AND('Классный журнал'!C72="-",'Классный журнал'!D72&lt;=$J$5),-1,IF(AND('Классный журнал'!C72="-",'Классный журнал'!D72&gt;$J$5),"x",IF('Классный журнал'!C72="+",1,0)))</f>
        <v>0</v>
      </c>
      <c r="B72" s="126">
        <f t="shared" si="10"/>
      </c>
      <c r="C72" s="126">
        <f t="shared" si="11"/>
      </c>
      <c r="D72" s="22">
        <v>4</v>
      </c>
      <c r="E72" s="50" t="str">
        <f>IF('Классный журнал'!E72="","",IF(OR(A72=-1,A72="x"),"",IF(A72=1,'Классный журнал'!E72,'Классный журнал'!E72)))</f>
        <v>Бахметьев Михаил</v>
      </c>
      <c r="F72" s="19">
        <f t="shared" si="12"/>
        <v>9</v>
      </c>
      <c r="G72" s="19">
        <f t="shared" si="13"/>
        <v>28</v>
      </c>
      <c r="H72" s="23">
        <f t="shared" si="14"/>
        <v>3.111111111111111</v>
      </c>
      <c r="I72" s="24">
        <f t="shared" si="15"/>
        <v>14</v>
      </c>
      <c r="J72" s="24">
        <f t="shared" si="16"/>
        <v>13</v>
      </c>
      <c r="K72" s="19">
        <f>IF(E72="","",COUNTIF('Классный журнал'!F72:IV72,5))</f>
        <v>0</v>
      </c>
      <c r="L72" s="19">
        <f>IF(E72="","",COUNTIF('Классный журнал'!F72:IV72,4))</f>
        <v>3</v>
      </c>
      <c r="M72" s="19">
        <f>IF(E72="","",COUNTIF('Классный журнал'!F72:IV72,3))</f>
        <v>4</v>
      </c>
      <c r="N72" s="19">
        <f>IF(E72="","",COUNTIF('Классный журнал'!F72:IV72,2))</f>
        <v>2</v>
      </c>
      <c r="O72" s="19">
        <f>IF(E72="","",COUNTIF('Классный журнал'!F72:IV72,1))</f>
        <v>0</v>
      </c>
      <c r="P72" s="19">
        <f>IF(E72="",0,COUNTIF('Классный журнал'!F72:IV72,"н/б"))</f>
        <v>0</v>
      </c>
      <c r="Q72" s="19">
        <f>IF(E72="",0,COUNTIF('Классный журнал'!F72:IV72,"н/у"))</f>
        <v>0</v>
      </c>
      <c r="R72" s="19">
        <f>IF(E72="",0,COUNTIF('Классный журнал'!F72:IV72,"н"))</f>
        <v>1</v>
      </c>
      <c r="S72" s="19">
        <f t="shared" si="17"/>
        <v>1</v>
      </c>
      <c r="T72" s="49">
        <f t="shared" si="18"/>
        <v>3</v>
      </c>
      <c r="U72" s="41">
        <f t="shared" si="19"/>
        <v>3.0555555555555554</v>
      </c>
    </row>
    <row r="73" spans="1:21" ht="23.25">
      <c r="A73" s="281">
        <f>IF(AND('Классный журнал'!C73="-",'Классный журнал'!D73&lt;=$J$5),-1,IF(AND('Классный журнал'!C73="-",'Классный журнал'!D73&gt;$J$5),"x",IF('Классный журнал'!C73="+",1,0)))</f>
        <v>-1</v>
      </c>
      <c r="B73" s="126">
        <f t="shared" si="10"/>
      </c>
      <c r="C73" s="126">
        <f t="shared" si="11"/>
      </c>
      <c r="D73" s="22">
        <v>5</v>
      </c>
      <c r="E73" s="50">
        <f>IF('Классный журнал'!E73="","",IF(OR(A73=-1,A73="x"),"",IF(A73=1,'Классный журнал'!E73,'Классный журнал'!E73)))</f>
      </c>
      <c r="F73" s="19">
        <f t="shared" si="12"/>
        <v>0</v>
      </c>
      <c r="G73" s="19">
        <f t="shared" si="13"/>
        <v>0</v>
      </c>
      <c r="H73" s="23">
        <f t="shared" si="14"/>
      </c>
      <c r="I73" s="24">
        <f t="shared" si="15"/>
      </c>
      <c r="J73" s="24">
        <f t="shared" si="16"/>
      </c>
      <c r="K73" s="19">
        <f>IF(E73="","",COUNTIF('Классный журнал'!F73:IV73,5))</f>
      </c>
      <c r="L73" s="19">
        <f>IF(E73="","",COUNTIF('Классный журнал'!F73:IV73,4))</f>
      </c>
      <c r="M73" s="19">
        <f>IF(E73="","",COUNTIF('Классный журнал'!F73:IV73,3))</f>
      </c>
      <c r="N73" s="19">
        <f>IF(E73="","",COUNTIF('Классный журнал'!F73:IV73,2))</f>
      </c>
      <c r="O73" s="19">
        <f>IF(E73="","",COUNTIF('Классный журнал'!F73:IV73,1))</f>
      </c>
      <c r="P73" s="19">
        <f>IF(E73="",0,COUNTIF('Классный журнал'!F73:IV73,"н/б"))</f>
        <v>0</v>
      </c>
      <c r="Q73" s="19">
        <f>IF(E73="",0,COUNTIF('Классный журнал'!F73:IV73,"н/у"))</f>
        <v>0</v>
      </c>
      <c r="R73" s="19">
        <f>IF(E73="",0,COUNTIF('Классный журнал'!F73:IV73,"н"))</f>
        <v>0</v>
      </c>
      <c r="S73" s="19">
        <f t="shared" si="17"/>
      </c>
      <c r="T73" s="49">
        <f t="shared" si="18"/>
      </c>
      <c r="U73" s="41">
        <f t="shared" si="19"/>
      </c>
    </row>
    <row r="74" spans="1:21" ht="23.25">
      <c r="A74" s="281">
        <f>IF(AND('Классный журнал'!C74="-",'Классный журнал'!D74&lt;=$J$5),-1,IF(AND('Классный журнал'!C74="-",'Классный журнал'!D74&gt;$J$5),"x",IF('Классный журнал'!C74="+",1,0)))</f>
        <v>0</v>
      </c>
      <c r="B74" s="126">
        <f t="shared" si="10"/>
      </c>
      <c r="C74" s="126">
        <f t="shared" si="11"/>
      </c>
      <c r="D74" s="22">
        <v>6</v>
      </c>
      <c r="E74" s="50" t="str">
        <f>IF('Классный журнал'!E74="","",IF(OR(A74=-1,A74="x"),"",IF(A74=1,'Классный журнал'!E74,'Классный журнал'!E74)))</f>
        <v>Валеев Руслан</v>
      </c>
      <c r="F74" s="19">
        <f t="shared" si="12"/>
        <v>9</v>
      </c>
      <c r="G74" s="19">
        <f t="shared" si="13"/>
        <v>33</v>
      </c>
      <c r="H74" s="23">
        <f t="shared" si="14"/>
        <v>3.6666666666666665</v>
      </c>
      <c r="I74" s="24">
        <f t="shared" si="15"/>
        <v>7</v>
      </c>
      <c r="J74" s="24">
        <f t="shared" si="16"/>
        <v>11</v>
      </c>
      <c r="K74" s="19">
        <f>IF(E74="","",COUNTIF('Классный журнал'!F74:IV74,5))</f>
        <v>1</v>
      </c>
      <c r="L74" s="19">
        <f>IF(E74="","",COUNTIF('Классный журнал'!F74:IV74,4))</f>
        <v>4</v>
      </c>
      <c r="M74" s="19">
        <f>IF(E74="","",COUNTIF('Классный журнал'!F74:IV74,3))</f>
        <v>4</v>
      </c>
      <c r="N74" s="19">
        <f>IF(E74="","",COUNTIF('Классный журнал'!F74:IV74,2))</f>
        <v>0</v>
      </c>
      <c r="O74" s="19">
        <f>IF(E74="","",COUNTIF('Классный журнал'!F74:IV74,1))</f>
        <v>0</v>
      </c>
      <c r="P74" s="19">
        <f>IF(E74="",0,COUNTIF('Классный журнал'!F74:IV74,"н/б"))</f>
        <v>0</v>
      </c>
      <c r="Q74" s="19">
        <f>IF(E74="",0,COUNTIF('Классный журнал'!F74:IV74,"н/у"))</f>
        <v>0</v>
      </c>
      <c r="R74" s="19">
        <f>IF(E74="",0,COUNTIF('Классный журнал'!F74:IV74,"н"))</f>
        <v>1</v>
      </c>
      <c r="S74" s="19">
        <f t="shared" si="17"/>
        <v>1</v>
      </c>
      <c r="T74" s="49">
        <f t="shared" si="18"/>
        <v>3</v>
      </c>
      <c r="U74" s="41">
        <f t="shared" si="19"/>
        <v>3.4705882352941178</v>
      </c>
    </row>
    <row r="75" spans="1:21" ht="23.25">
      <c r="A75" s="281">
        <f>IF(AND('Классный журнал'!C75="-",'Классный журнал'!D75&lt;=$J$5),-1,IF(AND('Классный журнал'!C75="-",'Классный журнал'!D75&gt;$J$5),"x",IF('Классный журнал'!C75="+",1,0)))</f>
        <v>0</v>
      </c>
      <c r="B75" s="126">
        <f t="shared" si="10"/>
      </c>
      <c r="C75" s="126">
        <f t="shared" si="11"/>
      </c>
      <c r="D75" s="22">
        <v>7</v>
      </c>
      <c r="E75" s="50" t="str">
        <f>IF('Классный журнал'!E75="","",IF(OR(A75=-1,A75="x"),"",IF(A75=1,'Классный журнал'!E75,'Классный журнал'!E75)))</f>
        <v>Власов Владимир</v>
      </c>
      <c r="F75" s="19">
        <f t="shared" si="12"/>
        <v>9</v>
      </c>
      <c r="G75" s="19">
        <f t="shared" si="13"/>
        <v>25</v>
      </c>
      <c r="H75" s="23">
        <f t="shared" si="14"/>
        <v>2.7777777777777777</v>
      </c>
      <c r="I75" s="24">
        <f t="shared" si="15"/>
        <v>21</v>
      </c>
      <c r="J75" s="24">
        <f t="shared" si="16"/>
        <v>23</v>
      </c>
      <c r="K75" s="19">
        <f>IF(E75="","",COUNTIF('Классный журнал'!F75:IV75,5))</f>
        <v>0</v>
      </c>
      <c r="L75" s="19">
        <f>IF(E75="","",COUNTIF('Классный журнал'!F75:IV75,4))</f>
        <v>1</v>
      </c>
      <c r="M75" s="19">
        <f>IF(E75="","",COUNTIF('Классный журнал'!F75:IV75,3))</f>
        <v>6</v>
      </c>
      <c r="N75" s="19">
        <f>IF(E75="","",COUNTIF('Классный журнал'!F75:IV75,2))</f>
        <v>1</v>
      </c>
      <c r="O75" s="19">
        <f>IF(E75="","",COUNTIF('Классный журнал'!F75:IV75,1))</f>
        <v>1</v>
      </c>
      <c r="P75" s="19">
        <f>IF(E75="",0,COUNTIF('Классный журнал'!F75:IV75,"н/б"))</f>
        <v>0</v>
      </c>
      <c r="Q75" s="19">
        <f>IF(E75="",0,COUNTIF('Классный журнал'!F75:IV75,"н/у"))</f>
        <v>0</v>
      </c>
      <c r="R75" s="19">
        <f>IF(E75="",0,COUNTIF('Классный журнал'!F75:IV75,"н"))</f>
        <v>1</v>
      </c>
      <c r="S75" s="19">
        <f t="shared" si="17"/>
        <v>1</v>
      </c>
      <c r="T75" s="49">
        <f t="shared" si="18"/>
        <v>3</v>
      </c>
      <c r="U75" s="41">
        <f t="shared" si="19"/>
        <v>2.625</v>
      </c>
    </row>
    <row r="76" spans="1:21" ht="23.25">
      <c r="A76" s="281">
        <f>IF(AND('Классный журнал'!C76="-",'Классный журнал'!D76&lt;=$J$5),-1,IF(AND('Классный журнал'!C76="-",'Классный журнал'!D76&gt;$J$5),"x",IF('Классный журнал'!C76="+",1,0)))</f>
        <v>0</v>
      </c>
      <c r="B76" s="126">
        <f t="shared" si="10"/>
      </c>
      <c r="C76" s="126">
        <f t="shared" si="11"/>
      </c>
      <c r="D76" s="22">
        <v>8</v>
      </c>
      <c r="E76" s="50" t="str">
        <f>IF('Классный журнал'!E76="","",IF(OR(A76=-1,A76="x"),"",IF(A76=1,'Классный журнал'!E76,'Классный журнал'!E76)))</f>
        <v>Головина Дарья</v>
      </c>
      <c r="F76" s="19">
        <f t="shared" si="12"/>
        <v>8</v>
      </c>
      <c r="G76" s="19">
        <f t="shared" si="13"/>
        <v>31</v>
      </c>
      <c r="H76" s="23">
        <f t="shared" si="14"/>
        <v>3.875</v>
      </c>
      <c r="I76" s="24">
        <f t="shared" si="15"/>
        <v>5</v>
      </c>
      <c r="J76" s="24">
        <f t="shared" si="16"/>
        <v>2</v>
      </c>
      <c r="K76" s="19">
        <f>IF(E76="","",COUNTIF('Классный журнал'!F76:IV76,5))</f>
        <v>2</v>
      </c>
      <c r="L76" s="19">
        <f>IF(E76="","",COUNTIF('Классный журнал'!F76:IV76,4))</f>
        <v>3</v>
      </c>
      <c r="M76" s="19">
        <f>IF(E76="","",COUNTIF('Классный журнал'!F76:IV76,3))</f>
        <v>3</v>
      </c>
      <c r="N76" s="19">
        <f>IF(E76="","",COUNTIF('Классный журнал'!F76:IV76,2))</f>
        <v>0</v>
      </c>
      <c r="O76" s="19">
        <f>IF(E76="","",COUNTIF('Классный журнал'!F76:IV76,1))</f>
        <v>0</v>
      </c>
      <c r="P76" s="19">
        <f>IF(E76="",0,COUNTIF('Классный журнал'!F76:IV76,"н/б"))</f>
        <v>0</v>
      </c>
      <c r="Q76" s="19">
        <f>IF(E76="",0,COUNTIF('Классный журнал'!F76:IV76,"н/у"))</f>
        <v>0</v>
      </c>
      <c r="R76" s="19">
        <f>IF(E76="",0,COUNTIF('Классный журнал'!F76:IV76,"н"))</f>
        <v>0</v>
      </c>
      <c r="S76" s="19">
        <f t="shared" si="17"/>
        <v>0</v>
      </c>
      <c r="T76" s="49">
        <f t="shared" si="18"/>
        <v>4</v>
      </c>
      <c r="U76" s="41">
        <f t="shared" si="19"/>
        <v>4</v>
      </c>
    </row>
    <row r="77" spans="1:21" ht="23.25">
      <c r="A77" s="281">
        <f>IF(AND('Классный журнал'!C77="-",'Классный журнал'!D77&lt;=$J$5),-1,IF(AND('Классный журнал'!C77="-",'Классный журнал'!D77&gt;$J$5),"x",IF('Классный журнал'!C77="+",1,0)))</f>
        <v>-1</v>
      </c>
      <c r="B77" s="126">
        <f t="shared" si="10"/>
      </c>
      <c r="C77" s="126">
        <f t="shared" si="11"/>
      </c>
      <c r="D77" s="22">
        <v>9</v>
      </c>
      <c r="E77" s="50">
        <f>IF('Классный журнал'!E77="","",IF(OR(A77=-1,A77="x"),"",IF(A77=1,'Классный журнал'!E77,'Классный журнал'!E77)))</f>
      </c>
      <c r="F77" s="19">
        <f t="shared" si="12"/>
        <v>0</v>
      </c>
      <c r="G77" s="19">
        <f t="shared" si="13"/>
        <v>0</v>
      </c>
      <c r="H77" s="23">
        <f t="shared" si="14"/>
      </c>
      <c r="I77" s="24">
        <f t="shared" si="15"/>
      </c>
      <c r="J77" s="24">
        <f t="shared" si="16"/>
      </c>
      <c r="K77" s="19">
        <f>IF(E77="","",COUNTIF('Классный журнал'!F77:IV77,5))</f>
      </c>
      <c r="L77" s="19">
        <f>IF(E77="","",COUNTIF('Классный журнал'!F77:IV77,4))</f>
      </c>
      <c r="M77" s="19">
        <f>IF(E77="","",COUNTIF('Классный журнал'!F77:IV77,3))</f>
      </c>
      <c r="N77" s="19">
        <f>IF(E77="","",COUNTIF('Классный журнал'!F77:IV77,2))</f>
      </c>
      <c r="O77" s="19">
        <f>IF(E77="","",COUNTIF('Классный журнал'!F77:IV77,1))</f>
      </c>
      <c r="P77" s="19">
        <f>IF(E77="",0,COUNTIF('Классный журнал'!F77:IV77,"н/б"))</f>
        <v>0</v>
      </c>
      <c r="Q77" s="19">
        <f>IF(E77="",0,COUNTIF('Классный журнал'!F77:IV77,"н/у"))</f>
        <v>0</v>
      </c>
      <c r="R77" s="19">
        <f>IF(E77="",0,COUNTIF('Классный журнал'!F77:IV77,"н"))</f>
        <v>0</v>
      </c>
      <c r="S77" s="19">
        <f t="shared" si="17"/>
      </c>
      <c r="T77" s="49">
        <f t="shared" si="18"/>
      </c>
      <c r="U77" s="41">
        <f t="shared" si="19"/>
      </c>
    </row>
    <row r="78" spans="1:21" ht="23.25">
      <c r="A78" s="281">
        <f>IF(AND('Классный журнал'!C78="-",'Классный журнал'!D78&lt;=$J$5),-1,IF(AND('Классный журнал'!C78="-",'Классный журнал'!D78&gt;$J$5),"x",IF('Классный журнал'!C78="+",1,0)))</f>
        <v>0</v>
      </c>
      <c r="B78" s="126">
        <f t="shared" si="10"/>
      </c>
      <c r="C78" s="126">
        <f t="shared" si="11"/>
      </c>
      <c r="D78" s="22">
        <v>10</v>
      </c>
      <c r="E78" s="50" t="str">
        <f>IF('Классный журнал'!E78="","",IF(OR(A78=-1,A78="x"),"",IF(A78=1,'Классный журнал'!E78,'Классный журнал'!E78)))</f>
        <v>Добрынин Павел</v>
      </c>
      <c r="F78" s="19">
        <f t="shared" si="12"/>
        <v>9</v>
      </c>
      <c r="G78" s="19">
        <f t="shared" si="13"/>
        <v>35</v>
      </c>
      <c r="H78" s="23">
        <f t="shared" si="14"/>
        <v>3.888888888888889</v>
      </c>
      <c r="I78" s="24">
        <f t="shared" si="15"/>
        <v>4</v>
      </c>
      <c r="J78" s="24">
        <f t="shared" si="16"/>
        <v>5</v>
      </c>
      <c r="K78" s="19">
        <f>IF(E78="","",COUNTIF('Классный журнал'!F78:IV78,5))</f>
        <v>2</v>
      </c>
      <c r="L78" s="19">
        <f>IF(E78="","",COUNTIF('Классный журнал'!F78:IV78,4))</f>
        <v>4</v>
      </c>
      <c r="M78" s="19">
        <f>IF(E78="","",COUNTIF('Классный журнал'!F78:IV78,3))</f>
        <v>3</v>
      </c>
      <c r="N78" s="19">
        <f>IF(E78="","",COUNTIF('Классный журнал'!F78:IV78,2))</f>
        <v>0</v>
      </c>
      <c r="O78" s="19">
        <f>IF(E78="","",COUNTIF('Классный журнал'!F78:IV78,1))</f>
        <v>0</v>
      </c>
      <c r="P78" s="19">
        <f>IF(E78="",0,COUNTIF('Классный журнал'!F78:IV78,"н/б"))</f>
        <v>0</v>
      </c>
      <c r="Q78" s="19">
        <f>IF(E78="",0,COUNTIF('Классный журнал'!F78:IV78,"н/у"))</f>
        <v>0</v>
      </c>
      <c r="R78" s="19">
        <f>IF(E78="",0,COUNTIF('Классный журнал'!F78:IV78,"н"))</f>
        <v>0</v>
      </c>
      <c r="S78" s="19">
        <f t="shared" si="17"/>
        <v>0</v>
      </c>
      <c r="T78" s="49">
        <f t="shared" si="18"/>
        <v>4</v>
      </c>
      <c r="U78" s="41">
        <f t="shared" si="19"/>
        <v>3.823529411764706</v>
      </c>
    </row>
    <row r="79" spans="1:21" ht="23.25">
      <c r="A79" s="281">
        <f>IF(AND('Классный журнал'!C79="-",'Классный журнал'!D79&lt;=$J$5),-1,IF(AND('Классный журнал'!C79="-",'Классный журнал'!D79&gt;$J$5),"x",IF('Классный журнал'!C79="+",1,0)))</f>
        <v>0</v>
      </c>
      <c r="B79" s="126">
        <f t="shared" si="10"/>
      </c>
      <c r="C79" s="126">
        <f t="shared" si="11"/>
      </c>
      <c r="D79" s="22">
        <v>11</v>
      </c>
      <c r="E79" s="50" t="str">
        <f>IF('Классный журнал'!E79="","",IF(OR(A79=-1,A79="x"),"",IF(A79=1,'Классный журнал'!E79,'Классный журнал'!E79)))</f>
        <v>Жарков Егор</v>
      </c>
      <c r="F79" s="19">
        <f t="shared" si="12"/>
        <v>8</v>
      </c>
      <c r="G79" s="19">
        <f t="shared" si="13"/>
        <v>28</v>
      </c>
      <c r="H79" s="23">
        <f t="shared" si="14"/>
        <v>3.5</v>
      </c>
      <c r="I79" s="24">
        <f t="shared" si="15"/>
        <v>9</v>
      </c>
      <c r="J79" s="24">
        <f t="shared" si="16"/>
        <v>10</v>
      </c>
      <c r="K79" s="19">
        <f>IF(E79="","",COUNTIF('Классный журнал'!F79:IV79,5))</f>
        <v>0</v>
      </c>
      <c r="L79" s="19">
        <f>IF(E79="","",COUNTIF('Классный журнал'!F79:IV79,4))</f>
        <v>4</v>
      </c>
      <c r="M79" s="19">
        <f>IF(E79="","",COUNTIF('Классный журнал'!F79:IV79,3))</f>
        <v>4</v>
      </c>
      <c r="N79" s="19">
        <f>IF(E79="","",COUNTIF('Классный журнал'!F79:IV79,2))</f>
        <v>0</v>
      </c>
      <c r="O79" s="19">
        <f>IF(E79="","",COUNTIF('Классный журнал'!F79:IV79,1))</f>
        <v>0</v>
      </c>
      <c r="P79" s="19">
        <f>IF(E79="",0,COUNTIF('Классный журнал'!F79:IV79,"н/б"))</f>
        <v>0</v>
      </c>
      <c r="Q79" s="19">
        <f>IF(E79="",0,COUNTIF('Классный журнал'!F79:IV79,"н/у"))</f>
        <v>0</v>
      </c>
      <c r="R79" s="19">
        <f>IF(E79="",0,COUNTIF('Классный журнал'!F79:IV79,"н"))</f>
        <v>0</v>
      </c>
      <c r="S79" s="19">
        <f t="shared" si="17"/>
        <v>0</v>
      </c>
      <c r="T79" s="49">
        <f t="shared" si="18"/>
        <v>3</v>
      </c>
      <c r="U79" s="41">
        <f t="shared" si="19"/>
        <v>3.5</v>
      </c>
    </row>
    <row r="80" spans="1:21" ht="23.25">
      <c r="A80" s="281">
        <f>IF(AND('Классный журнал'!C80="-",'Классный журнал'!D80&lt;=$J$5),-1,IF(AND('Классный журнал'!C80="-",'Классный журнал'!D80&gt;$J$5),"x",IF('Классный журнал'!C80="+",1,0)))</f>
        <v>0</v>
      </c>
      <c r="B80" s="126">
        <f t="shared" si="10"/>
      </c>
      <c r="C80" s="126">
        <f t="shared" si="11"/>
      </c>
      <c r="D80" s="22">
        <v>12</v>
      </c>
      <c r="E80" s="50" t="str">
        <f>IF('Классный журнал'!E80="","",IF(OR(A80=-1,A80="x"),"",IF(A80=1,'Классный журнал'!E80,'Классный журнал'!E80)))</f>
        <v>Заева Владлена</v>
      </c>
      <c r="F80" s="19">
        <f t="shared" si="12"/>
        <v>8</v>
      </c>
      <c r="G80" s="19">
        <f t="shared" si="13"/>
        <v>29</v>
      </c>
      <c r="H80" s="23">
        <f t="shared" si="14"/>
        <v>3.625</v>
      </c>
      <c r="I80" s="24">
        <f t="shared" si="15"/>
        <v>8</v>
      </c>
      <c r="J80" s="24">
        <f t="shared" si="16"/>
        <v>8</v>
      </c>
      <c r="K80" s="19">
        <f>IF(E80="","",COUNTIF('Классный журнал'!F80:IV80,5))</f>
        <v>2</v>
      </c>
      <c r="L80" s="19">
        <f>IF(E80="","",COUNTIF('Классный журнал'!F80:IV80,4))</f>
        <v>2</v>
      </c>
      <c r="M80" s="19">
        <f>IF(E80="","",COUNTIF('Классный журнал'!F80:IV80,3))</f>
        <v>3</v>
      </c>
      <c r="N80" s="19">
        <f>IF(E80="","",COUNTIF('Классный журнал'!F80:IV80,2))</f>
        <v>1</v>
      </c>
      <c r="O80" s="19">
        <f>IF(E80="","",COUNTIF('Классный журнал'!F80:IV80,1))</f>
        <v>0</v>
      </c>
      <c r="P80" s="19">
        <f>IF(E80="",0,COUNTIF('Классный журнал'!F80:IV80,"н/б"))</f>
        <v>0</v>
      </c>
      <c r="Q80" s="19">
        <f>IF(E80="",0,COUNTIF('Классный журнал'!F80:IV80,"н/у"))</f>
        <v>0</v>
      </c>
      <c r="R80" s="19">
        <f>IF(E80="",0,COUNTIF('Классный журнал'!F80:IV80,"н"))</f>
        <v>0</v>
      </c>
      <c r="S80" s="19">
        <f t="shared" si="17"/>
        <v>0</v>
      </c>
      <c r="T80" s="49">
        <f t="shared" si="18"/>
        <v>3</v>
      </c>
      <c r="U80" s="41">
        <f t="shared" si="19"/>
        <v>3.6666666666666665</v>
      </c>
    </row>
    <row r="81" spans="1:21" ht="23.25">
      <c r="A81" s="281">
        <f>IF(AND('Классный журнал'!C81="-",'Классный журнал'!D81&lt;=$J$5),-1,IF(AND('Классный журнал'!C81="-",'Классный журнал'!D81&gt;$J$5),"x",IF('Классный журнал'!C81="+",1,0)))</f>
        <v>0</v>
      </c>
      <c r="B81" s="126" t="str">
        <f t="shared" si="10"/>
        <v>x</v>
      </c>
      <c r="C81" s="126">
        <f t="shared" si="11"/>
      </c>
      <c r="D81" s="22">
        <v>13</v>
      </c>
      <c r="E81" s="50" t="str">
        <f>IF('Классный журнал'!E81="","",IF(OR(A81=-1,A81="x"),"",IF(A81=1,'Классный журнал'!E81,'Классный журнал'!E81)))</f>
        <v>Игошева Анастасия</v>
      </c>
      <c r="F81" s="19">
        <f t="shared" si="12"/>
        <v>7</v>
      </c>
      <c r="G81" s="19">
        <f t="shared" si="13"/>
        <v>21</v>
      </c>
      <c r="H81" s="23">
        <f t="shared" si="14"/>
        <v>3</v>
      </c>
      <c r="I81" s="24">
        <f t="shared" si="15"/>
        <v>15</v>
      </c>
      <c r="J81" s="24">
        <f t="shared" si="16"/>
        <v>17</v>
      </c>
      <c r="K81" s="19">
        <f>IF(E81="","",COUNTIF('Классный журнал'!F81:IV81,5))</f>
        <v>0</v>
      </c>
      <c r="L81" s="19">
        <f>IF(E81="","",COUNTIF('Классный журнал'!F81:IV81,4))</f>
        <v>1</v>
      </c>
      <c r="M81" s="19">
        <f>IF(E81="","",COUNTIF('Классный журнал'!F81:IV81,3))</f>
        <v>5</v>
      </c>
      <c r="N81" s="19">
        <f>IF(E81="","",COUNTIF('Классный журнал'!F81:IV81,2))</f>
        <v>1</v>
      </c>
      <c r="O81" s="19">
        <f>IF(E81="","",COUNTIF('Классный журнал'!F81:IV81,1))</f>
        <v>0</v>
      </c>
      <c r="P81" s="19">
        <f>IF(E81="",0,COUNTIF('Классный журнал'!F81:IV81,"н/б"))</f>
        <v>1</v>
      </c>
      <c r="Q81" s="19">
        <f>IF(E81="",0,COUNTIF('Классный журнал'!F81:IV81,"н/у"))</f>
        <v>0</v>
      </c>
      <c r="R81" s="19">
        <f>IF(E81="",0,COUNTIF('Классный журнал'!F81:IV81,"н"))</f>
        <v>3</v>
      </c>
      <c r="S81" s="19">
        <f t="shared" si="17"/>
        <v>4</v>
      </c>
      <c r="T81" s="49">
        <f t="shared" si="18"/>
        <v>3</v>
      </c>
      <c r="U81" s="41">
        <f t="shared" si="19"/>
        <v>2.923076923076923</v>
      </c>
    </row>
    <row r="82" spans="1:21" ht="23.25">
      <c r="A82" s="281">
        <f>IF(AND('Классный журнал'!C82="-",'Классный журнал'!D82&lt;=$J$5),-1,IF(AND('Классный журнал'!C82="-",'Классный журнал'!D82&gt;$J$5),"x",IF('Классный журнал'!C82="+",1,0)))</f>
        <v>0</v>
      </c>
      <c r="B82" s="126" t="str">
        <f t="shared" si="10"/>
        <v>x</v>
      </c>
      <c r="C82" s="126" t="str">
        <f t="shared" si="11"/>
        <v>!</v>
      </c>
      <c r="D82" s="22">
        <v>14</v>
      </c>
      <c r="E82" s="50" t="str">
        <f>IF('Классный журнал'!E82="","",IF(OR(A82=-1,A82="x"),"",IF(A82=1,'Классный журнал'!E82,'Классный журнал'!E82)))</f>
        <v>Казанцев Андрей</v>
      </c>
      <c r="F82" s="19">
        <f t="shared" si="12"/>
        <v>7</v>
      </c>
      <c r="G82" s="19">
        <f t="shared" si="13"/>
        <v>16</v>
      </c>
      <c r="H82" s="23">
        <f t="shared" si="14"/>
        <v>2.2857142857142856</v>
      </c>
      <c r="I82" s="24">
        <f t="shared" si="15"/>
        <v>27</v>
      </c>
      <c r="J82" s="24">
        <f t="shared" si="16"/>
        <v>27</v>
      </c>
      <c r="K82" s="19">
        <f>IF(E82="","",COUNTIF('Классный журнал'!F82:IV82,5))</f>
        <v>0</v>
      </c>
      <c r="L82" s="19">
        <f>IF(E82="","",COUNTIF('Классный журнал'!F82:IV82,4))</f>
        <v>0</v>
      </c>
      <c r="M82" s="19">
        <f>IF(E82="","",COUNTIF('Классный журнал'!F82:IV82,3))</f>
        <v>4</v>
      </c>
      <c r="N82" s="19">
        <f>IF(E82="","",COUNTIF('Классный журнал'!F82:IV82,2))</f>
        <v>1</v>
      </c>
      <c r="O82" s="19">
        <f>IF(E82="","",COUNTIF('Классный журнал'!F82:IV82,1))</f>
        <v>2</v>
      </c>
      <c r="P82" s="19">
        <f>IF(E82="",0,COUNTIF('Классный журнал'!F82:IV82,"н/б"))</f>
        <v>0</v>
      </c>
      <c r="Q82" s="19">
        <f>IF(E82="",0,COUNTIF('Классный журнал'!F82:IV82,"н/у"))</f>
        <v>0</v>
      </c>
      <c r="R82" s="19">
        <f>IF(E82="",0,COUNTIF('Классный журнал'!F82:IV82,"н"))</f>
        <v>3</v>
      </c>
      <c r="S82" s="19">
        <f t="shared" si="17"/>
        <v>3</v>
      </c>
      <c r="T82" s="49">
        <f t="shared" si="18"/>
        <v>2</v>
      </c>
      <c r="U82" s="41">
        <f t="shared" si="19"/>
        <v>2.230769230769231</v>
      </c>
    </row>
    <row r="83" spans="1:21" ht="23.25">
      <c r="A83" s="281">
        <f>IF(AND('Классный журнал'!C83="-",'Классный журнал'!D83&lt;=$J$5),-1,IF(AND('Классный журнал'!C83="-",'Классный журнал'!D83&gt;$J$5),"x",IF('Классный журнал'!C83="+",1,0)))</f>
        <v>0</v>
      </c>
      <c r="B83" s="126">
        <f t="shared" si="10"/>
      </c>
      <c r="C83" s="126">
        <f t="shared" si="11"/>
      </c>
      <c r="D83" s="22">
        <v>15</v>
      </c>
      <c r="E83" s="50" t="str">
        <f>IF('Классный журнал'!E83="","",IF(OR(A83=-1,A83="x"),"",IF(A83=1,'Классный журнал'!E83,'Классный журнал'!E83)))</f>
        <v>Кравченко Кристина</v>
      </c>
      <c r="F83" s="19">
        <f t="shared" si="12"/>
        <v>9</v>
      </c>
      <c r="G83" s="19">
        <f t="shared" si="13"/>
        <v>45</v>
      </c>
      <c r="H83" s="23">
        <f t="shared" si="14"/>
        <v>5</v>
      </c>
      <c r="I83" s="24">
        <f t="shared" si="15"/>
        <v>1</v>
      </c>
      <c r="J83" s="24">
        <f t="shared" si="16"/>
        <v>1</v>
      </c>
      <c r="K83" s="19">
        <f>IF(E83="","",COUNTIF('Классный журнал'!F83:IV83,5))</f>
        <v>9</v>
      </c>
      <c r="L83" s="19">
        <f>IF(E83="","",COUNTIF('Классный журнал'!F83:IV83,4))</f>
        <v>0</v>
      </c>
      <c r="M83" s="19">
        <f>IF(E83="","",COUNTIF('Классный журнал'!F83:IV83,3))</f>
        <v>0</v>
      </c>
      <c r="N83" s="19">
        <f>IF(E83="","",COUNTIF('Классный журнал'!F83:IV83,2))</f>
        <v>0</v>
      </c>
      <c r="O83" s="19">
        <f>IF(E83="","",COUNTIF('Классный журнал'!F83:IV83,1))</f>
        <v>0</v>
      </c>
      <c r="P83" s="19">
        <f>IF(E83="",0,COUNTIF('Классный журнал'!F83:IV83,"н/б"))</f>
        <v>0</v>
      </c>
      <c r="Q83" s="19">
        <f>IF(E83="",0,COUNTIF('Классный журнал'!F83:IV83,"н/у"))</f>
        <v>0</v>
      </c>
      <c r="R83" s="19">
        <f>IF(E83="",0,COUNTIF('Классный журнал'!F83:IV83,"н"))</f>
        <v>0</v>
      </c>
      <c r="S83" s="19">
        <f t="shared" si="17"/>
        <v>0</v>
      </c>
      <c r="T83" s="49">
        <f t="shared" si="18"/>
        <v>5</v>
      </c>
      <c r="U83" s="41">
        <f t="shared" si="19"/>
        <v>4.9411764705882355</v>
      </c>
    </row>
    <row r="84" spans="1:21" ht="23.25">
      <c r="A84" s="281">
        <f>IF(AND('Классный журнал'!C84="-",'Классный журнал'!D84&lt;=$J$5),-1,IF(AND('Классный журнал'!C84="-",'Классный журнал'!D84&gt;$J$5),"x",IF('Классный журнал'!C84="+",1,0)))</f>
        <v>0</v>
      </c>
      <c r="B84" s="126">
        <f t="shared" si="10"/>
      </c>
      <c r="C84" s="126">
        <f t="shared" si="11"/>
      </c>
      <c r="D84" s="22">
        <v>16</v>
      </c>
      <c r="E84" s="50" t="str">
        <f>IF('Классный журнал'!E84="","",IF(OR(A84=-1,A84="x"),"",IF(A84=1,'Классный журнал'!E84,'Классный журнал'!E84)))</f>
        <v>Кротков Александр</v>
      </c>
      <c r="F84" s="19">
        <f t="shared" si="12"/>
        <v>8</v>
      </c>
      <c r="G84" s="19">
        <f t="shared" si="13"/>
        <v>23</v>
      </c>
      <c r="H84" s="23">
        <f t="shared" si="14"/>
        <v>2.875</v>
      </c>
      <c r="I84" s="24">
        <f t="shared" si="15"/>
        <v>18</v>
      </c>
      <c r="J84" s="24">
        <f t="shared" si="16"/>
        <v>18</v>
      </c>
      <c r="K84" s="19">
        <f>IF(E84="","",COUNTIF('Классный журнал'!F84:IV84,5))</f>
        <v>0</v>
      </c>
      <c r="L84" s="19">
        <f>IF(E84="","",COUNTIF('Классный журнал'!F84:IV84,4))</f>
        <v>0</v>
      </c>
      <c r="M84" s="19">
        <f>IF(E84="","",COUNTIF('Классный журнал'!F84:IV84,3))</f>
        <v>7</v>
      </c>
      <c r="N84" s="19">
        <f>IF(E84="","",COUNTIF('Классный журнал'!F84:IV84,2))</f>
        <v>1</v>
      </c>
      <c r="O84" s="19">
        <f>IF(E84="","",COUNTIF('Классный журнал'!F84:IV84,1))</f>
        <v>0</v>
      </c>
      <c r="P84" s="19">
        <f>IF(E84="",0,COUNTIF('Классный журнал'!F84:IV84,"н/б"))</f>
        <v>0</v>
      </c>
      <c r="Q84" s="19">
        <f>IF(E84="",0,COUNTIF('Классный журнал'!F84:IV84,"н/у"))</f>
        <v>2</v>
      </c>
      <c r="R84" s="19">
        <f>IF(E84="",0,COUNTIF('Классный журнал'!F84:IV84,"н"))</f>
        <v>0</v>
      </c>
      <c r="S84" s="19">
        <f t="shared" si="17"/>
        <v>2</v>
      </c>
      <c r="T84" s="49">
        <f t="shared" si="18"/>
        <v>3</v>
      </c>
      <c r="U84" s="41">
        <f t="shared" si="19"/>
        <v>2.8666666666666667</v>
      </c>
    </row>
    <row r="85" spans="1:21" ht="23.25">
      <c r="A85" s="281">
        <f>IF(AND('Классный журнал'!C85="-",'Классный журнал'!D85&lt;=$J$5),-1,IF(AND('Классный журнал'!C85="-",'Классный журнал'!D85&gt;$J$5),"x",IF('Классный журнал'!C85="+",1,0)))</f>
        <v>0</v>
      </c>
      <c r="B85" s="126">
        <f t="shared" si="10"/>
      </c>
      <c r="C85" s="126">
        <f t="shared" si="11"/>
      </c>
      <c r="D85" s="22">
        <v>17</v>
      </c>
      <c r="E85" s="50" t="str">
        <f>IF('Классный журнал'!E85="","",IF(OR(A85=-1,A85="x"),"",IF(A85=1,'Классный журнал'!E85,'Классный журнал'!E85)))</f>
        <v>Кузнецова Екатерина</v>
      </c>
      <c r="F85" s="19">
        <f t="shared" si="12"/>
        <v>8</v>
      </c>
      <c r="G85" s="19">
        <f t="shared" si="13"/>
        <v>32</v>
      </c>
      <c r="H85" s="23">
        <f t="shared" si="14"/>
        <v>4</v>
      </c>
      <c r="I85" s="24">
        <f t="shared" si="15"/>
        <v>2</v>
      </c>
      <c r="J85" s="24">
        <f t="shared" si="16"/>
        <v>2</v>
      </c>
      <c r="K85" s="19">
        <f>IF(E85="","",COUNTIF('Классный журнал'!F85:IV85,5))</f>
        <v>1</v>
      </c>
      <c r="L85" s="19">
        <f>IF(E85="","",COUNTIF('Классный журнал'!F85:IV85,4))</f>
        <v>6</v>
      </c>
      <c r="M85" s="19">
        <f>IF(E85="","",COUNTIF('Классный журнал'!F85:IV85,3))</f>
        <v>1</v>
      </c>
      <c r="N85" s="19">
        <f>IF(E85="","",COUNTIF('Классный журнал'!F85:IV85,2))</f>
        <v>0</v>
      </c>
      <c r="O85" s="19">
        <f>IF(E85="","",COUNTIF('Классный журнал'!F85:IV85,1))</f>
        <v>0</v>
      </c>
      <c r="P85" s="19">
        <f>IF(E85="",0,COUNTIF('Классный журнал'!F85:IV85,"н/б"))</f>
        <v>0</v>
      </c>
      <c r="Q85" s="19">
        <f>IF(E85="",0,COUNTIF('Классный журнал'!F85:IV85,"н/у"))</f>
        <v>0</v>
      </c>
      <c r="R85" s="19">
        <f>IF(E85="",0,COUNTIF('Классный журнал'!F85:IV85,"н"))</f>
        <v>0</v>
      </c>
      <c r="S85" s="19">
        <f t="shared" si="17"/>
        <v>0</v>
      </c>
      <c r="T85" s="49">
        <f t="shared" si="18"/>
        <v>4</v>
      </c>
      <c r="U85" s="41">
        <f t="shared" si="19"/>
        <v>4</v>
      </c>
    </row>
    <row r="86" spans="1:21" ht="23.25">
      <c r="A86" s="281">
        <f>IF(AND('Классный журнал'!C86="-",'Классный журнал'!D86&lt;=$J$5),-1,IF(AND('Классный журнал'!C86="-",'Классный журнал'!D86&gt;$J$5),"x",IF('Классный журнал'!C86="+",1,0)))</f>
        <v>0</v>
      </c>
      <c r="B86" s="126" t="str">
        <f t="shared" si="10"/>
        <v>x</v>
      </c>
      <c r="C86" s="126">
        <f t="shared" si="11"/>
      </c>
      <c r="D86" s="22">
        <v>18</v>
      </c>
      <c r="E86" s="50" t="str">
        <f>IF('Классный журнал'!E86="","",IF(OR(A86=-1,A86="x"),"",IF(A86=1,'Классный журнал'!E86,'Классный журнал'!E86)))</f>
        <v>Курило Павел</v>
      </c>
      <c r="F86" s="19">
        <f t="shared" si="12"/>
        <v>7</v>
      </c>
      <c r="G86" s="19">
        <f t="shared" si="13"/>
        <v>18</v>
      </c>
      <c r="H86" s="23">
        <f t="shared" si="14"/>
        <v>2.5714285714285716</v>
      </c>
      <c r="I86" s="24">
        <f t="shared" si="15"/>
        <v>24</v>
      </c>
      <c r="J86" s="24">
        <f t="shared" si="16"/>
        <v>24</v>
      </c>
      <c r="K86" s="19">
        <f>IF(E86="","",COUNTIF('Классный журнал'!F86:IV86,5))</f>
        <v>0</v>
      </c>
      <c r="L86" s="19">
        <f>IF(E86="","",COUNTIF('Классный журнал'!F86:IV86,4))</f>
        <v>0</v>
      </c>
      <c r="M86" s="19">
        <f>IF(E86="","",COUNTIF('Классный журнал'!F86:IV86,3))</f>
        <v>4</v>
      </c>
      <c r="N86" s="19">
        <f>IF(E86="","",COUNTIF('Классный журнал'!F86:IV86,2))</f>
        <v>3</v>
      </c>
      <c r="O86" s="19">
        <f>IF(E86="","",COUNTIF('Классный журнал'!F86:IV86,1))</f>
        <v>0</v>
      </c>
      <c r="P86" s="19">
        <f>IF(E86="",0,COUNTIF('Классный журнал'!F86:IV86,"н/б"))</f>
        <v>1</v>
      </c>
      <c r="Q86" s="19">
        <f>IF(E86="",0,COUNTIF('Классный журнал'!F86:IV86,"н/у"))</f>
        <v>0</v>
      </c>
      <c r="R86" s="19">
        <f>IF(E86="",0,COUNTIF('Классный журнал'!F86:IV86,"н"))</f>
        <v>2</v>
      </c>
      <c r="S86" s="19">
        <f t="shared" si="17"/>
        <v>3</v>
      </c>
      <c r="T86" s="49">
        <f t="shared" si="18"/>
        <v>3</v>
      </c>
      <c r="U86" s="41">
        <f t="shared" si="19"/>
        <v>2.5384615384615383</v>
      </c>
    </row>
    <row r="87" spans="1:21" ht="23.25">
      <c r="A87" s="281">
        <f>IF(AND('Классный журнал'!C87="-",'Классный журнал'!D87&lt;=$J$5),-1,IF(AND('Классный журнал'!C87="-",'Классный журнал'!D87&gt;$J$5),"x",IF('Классный журнал'!C87="+",1,0)))</f>
        <v>0</v>
      </c>
      <c r="B87" s="126" t="str">
        <f t="shared" si="10"/>
        <v>x</v>
      </c>
      <c r="C87" s="126" t="str">
        <f t="shared" si="11"/>
        <v>!</v>
      </c>
      <c r="D87" s="22">
        <v>19</v>
      </c>
      <c r="E87" s="50" t="str">
        <f>IF('Классный журнал'!E87="","",IF(OR(A87=-1,A87="x"),"",IF(A87=1,'Классный журнал'!E87,'Классный журнал'!E87)))</f>
        <v>Максимкина Татьяна</v>
      </c>
      <c r="F87" s="19">
        <f t="shared" si="12"/>
        <v>7</v>
      </c>
      <c r="G87" s="19">
        <f t="shared" si="13"/>
        <v>16</v>
      </c>
      <c r="H87" s="23">
        <f t="shared" si="14"/>
        <v>2.2857142857142856</v>
      </c>
      <c r="I87" s="24">
        <f t="shared" si="15"/>
        <v>27</v>
      </c>
      <c r="J87" s="24">
        <f t="shared" si="16"/>
        <v>27</v>
      </c>
      <c r="K87" s="19">
        <f>IF(E87="","",COUNTIF('Классный журнал'!F87:IV87,5))</f>
        <v>0</v>
      </c>
      <c r="L87" s="19">
        <f>IF(E87="","",COUNTIF('Классный журнал'!F87:IV87,4))</f>
        <v>0</v>
      </c>
      <c r="M87" s="19">
        <f>IF(E87="","",COUNTIF('Классный журнал'!F87:IV87,3))</f>
        <v>2</v>
      </c>
      <c r="N87" s="19">
        <f>IF(E87="","",COUNTIF('Классный журнал'!F87:IV87,2))</f>
        <v>5</v>
      </c>
      <c r="O87" s="19">
        <f>IF(E87="","",COUNTIF('Классный журнал'!F87:IV87,1))</f>
        <v>0</v>
      </c>
      <c r="P87" s="19">
        <f>IF(E87="",0,COUNTIF('Классный журнал'!F87:IV87,"н/б"))</f>
        <v>0</v>
      </c>
      <c r="Q87" s="19">
        <f>IF(E87="",0,COUNTIF('Классный журнал'!F87:IV87,"н/у"))</f>
        <v>0</v>
      </c>
      <c r="R87" s="19">
        <f>IF(E87="",0,COUNTIF('Классный журнал'!F87:IV87,"н"))</f>
        <v>3</v>
      </c>
      <c r="S87" s="19">
        <f t="shared" si="17"/>
        <v>3</v>
      </c>
      <c r="T87" s="49">
        <f t="shared" si="18"/>
        <v>2</v>
      </c>
      <c r="U87" s="41">
        <f t="shared" si="19"/>
        <v>2.230769230769231</v>
      </c>
    </row>
    <row r="88" spans="1:21" ht="23.25">
      <c r="A88" s="281">
        <f>IF(AND('Классный журнал'!C88="-",'Классный журнал'!D88&lt;=$J$5),-1,IF(AND('Классный журнал'!C88="-",'Классный журнал'!D88&gt;$J$5),"x",IF('Классный журнал'!C88="+",1,0)))</f>
        <v>0</v>
      </c>
      <c r="B88" s="126">
        <f t="shared" si="10"/>
      </c>
      <c r="C88" s="126">
        <f t="shared" si="11"/>
      </c>
      <c r="D88" s="22">
        <v>20</v>
      </c>
      <c r="E88" s="50" t="str">
        <f>IF('Классный журнал'!E88="","",IF(OR(A88=-1,A88="x"),"",IF(A88=1,'Классный журнал'!E88,'Классный журнал'!E88)))</f>
        <v>Малахова Ксения</v>
      </c>
      <c r="F88" s="19">
        <f t="shared" si="12"/>
        <v>8</v>
      </c>
      <c r="G88" s="19">
        <f t="shared" si="13"/>
        <v>23</v>
      </c>
      <c r="H88" s="23">
        <f t="shared" si="14"/>
        <v>2.875</v>
      </c>
      <c r="I88" s="24">
        <f t="shared" si="15"/>
        <v>18</v>
      </c>
      <c r="J88" s="24">
        <f t="shared" si="16"/>
        <v>20</v>
      </c>
      <c r="K88" s="19">
        <f>IF(E88="","",COUNTIF('Классный журнал'!F88:IV88,5))</f>
        <v>0</v>
      </c>
      <c r="L88" s="19">
        <f>IF(E88="","",COUNTIF('Классный журнал'!F88:IV88,4))</f>
        <v>1</v>
      </c>
      <c r="M88" s="19">
        <f>IF(E88="","",COUNTIF('Классный журнал'!F88:IV88,3))</f>
        <v>5</v>
      </c>
      <c r="N88" s="19">
        <f>IF(E88="","",COUNTIF('Классный журнал'!F88:IV88,2))</f>
        <v>2</v>
      </c>
      <c r="O88" s="19">
        <f>IF(E88="","",COUNTIF('Классный журнал'!F88:IV88,1))</f>
        <v>0</v>
      </c>
      <c r="P88" s="19">
        <f>IF(E88="",0,COUNTIF('Классный журнал'!F88:IV88,"н/б"))</f>
        <v>1</v>
      </c>
      <c r="Q88" s="19">
        <f>IF(E88="",0,COUNTIF('Классный журнал'!F88:IV88,"н/у"))</f>
        <v>0</v>
      </c>
      <c r="R88" s="19">
        <f>IF(E88="",0,COUNTIF('Классный журнал'!F88:IV88,"н"))</f>
        <v>1</v>
      </c>
      <c r="S88" s="19">
        <f t="shared" si="17"/>
        <v>2</v>
      </c>
      <c r="T88" s="49">
        <f t="shared" si="18"/>
        <v>3</v>
      </c>
      <c r="U88" s="41">
        <f t="shared" si="19"/>
        <v>2.7857142857142856</v>
      </c>
    </row>
    <row r="89" spans="1:21" ht="23.25">
      <c r="A89" s="281">
        <f>IF(AND('Классный журнал'!C89="-",'Классный журнал'!D89&lt;=$J$5),-1,IF(AND('Классный журнал'!C89="-",'Классный журнал'!D89&gt;$J$5),"x",IF('Классный журнал'!C89="+",1,0)))</f>
        <v>0</v>
      </c>
      <c r="B89" s="126">
        <f t="shared" si="10"/>
      </c>
      <c r="C89" s="126">
        <f t="shared" si="11"/>
      </c>
      <c r="D89" s="22">
        <v>21</v>
      </c>
      <c r="E89" s="50" t="str">
        <f>IF('Классный журнал'!E89="","",IF(OR(A89=-1,A89="x"),"",IF(A89=1,'Классный журнал'!E89,'Классный журнал'!E89)))</f>
        <v>Марсуверских Михаил</v>
      </c>
      <c r="F89" s="19">
        <f t="shared" si="12"/>
        <v>9</v>
      </c>
      <c r="G89" s="19">
        <f t="shared" si="13"/>
        <v>23</v>
      </c>
      <c r="H89" s="23">
        <f t="shared" si="14"/>
        <v>2.5555555555555554</v>
      </c>
      <c r="I89" s="24">
        <f t="shared" si="15"/>
        <v>25</v>
      </c>
      <c r="J89" s="24">
        <f t="shared" si="16"/>
        <v>25</v>
      </c>
      <c r="K89" s="19">
        <f>IF(E89="","",COUNTIF('Классный журнал'!F89:IV89,5))</f>
        <v>0</v>
      </c>
      <c r="L89" s="19">
        <f>IF(E89="","",COUNTIF('Классный журнал'!F89:IV89,4))</f>
        <v>0</v>
      </c>
      <c r="M89" s="19">
        <f>IF(E89="","",COUNTIF('Классный журнал'!F89:IV89,3))</f>
        <v>6</v>
      </c>
      <c r="N89" s="19">
        <f>IF(E89="","",COUNTIF('Классный журнал'!F89:IV89,2))</f>
        <v>2</v>
      </c>
      <c r="O89" s="19">
        <f>IF(E89="","",COUNTIF('Классный журнал'!F89:IV89,1))</f>
        <v>1</v>
      </c>
      <c r="P89" s="19">
        <f>IF(E89="",0,COUNTIF('Классный журнал'!F89:IV89,"н/б"))</f>
        <v>0</v>
      </c>
      <c r="Q89" s="19">
        <f>IF(E89="",0,COUNTIF('Классный журнал'!F89:IV89,"н/у"))</f>
        <v>0</v>
      </c>
      <c r="R89" s="19">
        <f>IF(E89="",0,COUNTIF('Классный журнал'!F89:IV89,"н"))</f>
        <v>0</v>
      </c>
      <c r="S89" s="19">
        <f t="shared" si="17"/>
        <v>0</v>
      </c>
      <c r="T89" s="49">
        <f t="shared" si="18"/>
        <v>3</v>
      </c>
      <c r="U89" s="41">
        <f t="shared" si="19"/>
        <v>2.4705882352941178</v>
      </c>
    </row>
    <row r="90" spans="1:21" ht="23.25">
      <c r="A90" s="281">
        <f>IF(AND('Классный журнал'!C90="-",'Классный журнал'!D90&lt;=$J$5),-1,IF(AND('Классный журнал'!C90="-",'Классный журнал'!D90&gt;$J$5),"x",IF('Классный журнал'!C90="+",1,0)))</f>
        <v>0</v>
      </c>
      <c r="B90" s="126" t="str">
        <f t="shared" si="10"/>
        <v>x</v>
      </c>
      <c r="C90" s="126">
        <f t="shared" si="11"/>
      </c>
      <c r="D90" s="22">
        <v>22</v>
      </c>
      <c r="E90" s="50" t="str">
        <f>IF('Классный журнал'!E90="","",IF(OR(A90=-1,A90="x"),"",IF(A90=1,'Классный журнал'!E90,'Классный журнал'!E90)))</f>
        <v>Никифоров Алексей</v>
      </c>
      <c r="F90" s="19">
        <f t="shared" si="12"/>
        <v>7</v>
      </c>
      <c r="G90" s="19">
        <f t="shared" si="13"/>
        <v>26</v>
      </c>
      <c r="H90" s="23">
        <f t="shared" si="14"/>
        <v>3.7142857142857144</v>
      </c>
      <c r="I90" s="24">
        <f t="shared" si="15"/>
        <v>6</v>
      </c>
      <c r="J90" s="24">
        <f t="shared" si="16"/>
        <v>7</v>
      </c>
      <c r="K90" s="19">
        <f>IF(E90="","",COUNTIF('Классный журнал'!F90:IV90,5))</f>
        <v>1</v>
      </c>
      <c r="L90" s="19">
        <f>IF(E90="","",COUNTIF('Классный журнал'!F90:IV90,4))</f>
        <v>4</v>
      </c>
      <c r="M90" s="19">
        <f>IF(E90="","",COUNTIF('Классный журнал'!F90:IV90,3))</f>
        <v>1</v>
      </c>
      <c r="N90" s="19">
        <f>IF(E90="","",COUNTIF('Классный журнал'!F90:IV90,2))</f>
        <v>1</v>
      </c>
      <c r="O90" s="19">
        <f>IF(E90="","",COUNTIF('Классный журнал'!F90:IV90,1))</f>
        <v>0</v>
      </c>
      <c r="P90" s="19">
        <f>IF(E90="",0,COUNTIF('Классный журнал'!F90:IV90,"н/б"))</f>
        <v>0</v>
      </c>
      <c r="Q90" s="19">
        <f>IF(E90="",0,COUNTIF('Классный журнал'!F90:IV90,"н/у"))</f>
        <v>3</v>
      </c>
      <c r="R90" s="19">
        <f>IF(E90="",0,COUNTIF('Классный журнал'!F90:IV90,"н"))</f>
        <v>0</v>
      </c>
      <c r="S90" s="19">
        <f t="shared" si="17"/>
        <v>3</v>
      </c>
      <c r="T90" s="49">
        <f t="shared" si="18"/>
        <v>4</v>
      </c>
      <c r="U90" s="41">
        <f t="shared" si="19"/>
        <v>3.6923076923076925</v>
      </c>
    </row>
    <row r="91" spans="1:21" ht="23.25">
      <c r="A91" s="281">
        <f>IF(AND('Классный журнал'!C91="-",'Классный журнал'!D91&lt;=$J$5),-1,IF(AND('Классный журнал'!C91="-",'Классный журнал'!D91&gt;$J$5),"x",IF('Классный журнал'!C91="+",1,0)))</f>
        <v>0</v>
      </c>
      <c r="B91" s="126">
        <f t="shared" si="10"/>
      </c>
      <c r="C91" s="126">
        <f t="shared" si="11"/>
      </c>
      <c r="D91" s="22">
        <v>23</v>
      </c>
      <c r="E91" s="50" t="str">
        <f>IF('Классный журнал'!E91="","",IF(OR(A91=-1,A91="x"),"",IF(A91=1,'Классный журнал'!E91,'Классный журнал'!E91)))</f>
        <v>Панченко Олеся</v>
      </c>
      <c r="F91" s="19">
        <f t="shared" si="12"/>
        <v>8</v>
      </c>
      <c r="G91" s="19">
        <f t="shared" si="13"/>
        <v>20</v>
      </c>
      <c r="H91" s="23">
        <f t="shared" si="14"/>
        <v>2.5</v>
      </c>
      <c r="I91" s="24">
        <f t="shared" si="15"/>
        <v>26</v>
      </c>
      <c r="J91" s="24">
        <f t="shared" si="16"/>
        <v>26</v>
      </c>
      <c r="K91" s="19">
        <f>IF(E91="","",COUNTIF('Классный журнал'!F91:IV91,5))</f>
        <v>0</v>
      </c>
      <c r="L91" s="19">
        <f>IF(E91="","",COUNTIF('Классный журнал'!F91:IV91,4))</f>
        <v>0</v>
      </c>
      <c r="M91" s="19">
        <f>IF(E91="","",COUNTIF('Классный журнал'!F91:IV91,3))</f>
        <v>5</v>
      </c>
      <c r="N91" s="19">
        <f>IF(E91="","",COUNTIF('Классный журнал'!F91:IV91,2))</f>
        <v>2</v>
      </c>
      <c r="O91" s="19">
        <f>IF(E91="","",COUNTIF('Классный журнал'!F91:IV91,1))</f>
        <v>1</v>
      </c>
      <c r="P91" s="19">
        <f>IF(E91="",0,COUNTIF('Классный журнал'!F91:IV91,"н/б"))</f>
        <v>1</v>
      </c>
      <c r="Q91" s="19">
        <f>IF(E91="",0,COUNTIF('Классный журнал'!F91:IV91,"н/у"))</f>
        <v>1</v>
      </c>
      <c r="R91" s="19">
        <f>IF(E91="",0,COUNTIF('Классный журнал'!F91:IV91,"н"))</f>
        <v>1</v>
      </c>
      <c r="S91" s="19">
        <f t="shared" si="17"/>
        <v>3</v>
      </c>
      <c r="T91" s="49">
        <f t="shared" si="18"/>
        <v>3</v>
      </c>
      <c r="U91" s="41">
        <f t="shared" si="19"/>
        <v>2.466666666666667</v>
      </c>
    </row>
    <row r="92" spans="1:21" ht="23.25">
      <c r="A92" s="281">
        <f>IF(AND('Классный журнал'!C92="-",'Классный журнал'!D92&lt;=$J$5),-1,IF(AND('Классный журнал'!C92="-",'Классный журнал'!D92&gt;$J$5),"x",IF('Классный журнал'!C92="+",1,0)))</f>
        <v>0</v>
      </c>
      <c r="B92" s="126">
        <f t="shared" si="10"/>
      </c>
      <c r="C92" s="126">
        <f t="shared" si="11"/>
      </c>
      <c r="D92" s="22">
        <v>24</v>
      </c>
      <c r="E92" s="50" t="str">
        <f>IF('Классный журнал'!E92="","",IF(OR(A92=-1,A92="x"),"",IF(A92=1,'Классный журнал'!E92,'Классный журнал'!E92)))</f>
        <v>Перцев Владимир</v>
      </c>
      <c r="F92" s="19">
        <f t="shared" si="12"/>
        <v>9</v>
      </c>
      <c r="G92" s="19">
        <f t="shared" si="13"/>
        <v>27</v>
      </c>
      <c r="H92" s="23">
        <f t="shared" si="14"/>
        <v>3</v>
      </c>
      <c r="I92" s="24">
        <f t="shared" si="15"/>
        <v>15</v>
      </c>
      <c r="J92" s="24">
        <f t="shared" si="16"/>
        <v>14</v>
      </c>
      <c r="K92" s="19">
        <f>IF(E92="","",COUNTIF('Классный журнал'!F92:IV92,5))</f>
        <v>0</v>
      </c>
      <c r="L92" s="19">
        <f>IF(E92="","",COUNTIF('Классный журнал'!F92:IV92,4))</f>
        <v>2</v>
      </c>
      <c r="M92" s="19">
        <f>IF(E92="","",COUNTIF('Классный журнал'!F92:IV92,3))</f>
        <v>5</v>
      </c>
      <c r="N92" s="19">
        <f>IF(E92="","",COUNTIF('Классный журнал'!F92:IV92,2))</f>
        <v>2</v>
      </c>
      <c r="O92" s="19">
        <f>IF(E92="","",COUNTIF('Классный журнал'!F92:IV92,1))</f>
        <v>0</v>
      </c>
      <c r="P92" s="19">
        <f>IF(E92="",0,COUNTIF('Классный журнал'!F92:IV92,"н/б"))</f>
        <v>0</v>
      </c>
      <c r="Q92" s="19">
        <f>IF(E92="",0,COUNTIF('Классный журнал'!F92:IV92,"н/у"))</f>
        <v>0</v>
      </c>
      <c r="R92" s="19">
        <f>IF(E92="",0,COUNTIF('Классный журнал'!F92:IV92,"н"))</f>
        <v>0</v>
      </c>
      <c r="S92" s="19">
        <f t="shared" si="17"/>
        <v>0</v>
      </c>
      <c r="T92" s="49">
        <f t="shared" si="18"/>
        <v>3</v>
      </c>
      <c r="U92" s="41">
        <f t="shared" si="19"/>
        <v>3</v>
      </c>
    </row>
    <row r="93" spans="1:21" ht="23.25">
      <c r="A93" s="281">
        <f>IF(AND('Классный журнал'!C93="-",'Классный журнал'!D93&lt;=$J$5),-1,IF(AND('Классный журнал'!C93="-",'Классный журнал'!D93&gt;$J$5),"x",IF('Классный журнал'!C93="+",1,0)))</f>
        <v>0</v>
      </c>
      <c r="B93" s="126" t="str">
        <f t="shared" si="10"/>
        <v>XX</v>
      </c>
      <c r="C93" s="126">
        <f t="shared" si="11"/>
      </c>
      <c r="D93" s="22">
        <v>25</v>
      </c>
      <c r="E93" s="50" t="str">
        <f>IF('Классный журнал'!E93="","",IF(OR(A93=-1,A93="x"),"",IF(A93=1,'Классный журнал'!E93,'Классный журнал'!E93)))</f>
        <v>Плешивцев Виталий</v>
      </c>
      <c r="F93" s="19">
        <f t="shared" si="12"/>
        <v>6</v>
      </c>
      <c r="G93" s="19">
        <f t="shared" si="13"/>
        <v>17</v>
      </c>
      <c r="H93" s="23">
        <f t="shared" si="14"/>
        <v>2.8333333333333335</v>
      </c>
      <c r="I93" s="24">
        <f t="shared" si="15"/>
        <v>20</v>
      </c>
      <c r="J93" s="24">
        <f t="shared" si="16"/>
        <v>19</v>
      </c>
      <c r="K93" s="19">
        <f>IF(E93="","",COUNTIF('Классный журнал'!F93:IV93,5))</f>
        <v>0</v>
      </c>
      <c r="L93" s="19">
        <f>IF(E93="","",COUNTIF('Классный журнал'!F93:IV93,4))</f>
        <v>0</v>
      </c>
      <c r="M93" s="19">
        <f>IF(E93="","",COUNTIF('Классный журнал'!F93:IV93,3))</f>
        <v>5</v>
      </c>
      <c r="N93" s="19">
        <f>IF(E93="","",COUNTIF('Классный журнал'!F93:IV93,2))</f>
        <v>1</v>
      </c>
      <c r="O93" s="19">
        <f>IF(E93="","",COUNTIF('Классный журнал'!F93:IV93,1))</f>
        <v>0</v>
      </c>
      <c r="P93" s="19">
        <f>IF(E93="",0,COUNTIF('Классный журнал'!F93:IV93,"н/б"))</f>
        <v>5</v>
      </c>
      <c r="Q93" s="19">
        <f>IF(E93="",0,COUNTIF('Классный журнал'!F93:IV93,"н/у"))</f>
        <v>0</v>
      </c>
      <c r="R93" s="19">
        <f>IF(E93="",0,COUNTIF('Классный журнал'!F93:IV93,"н"))</f>
        <v>0</v>
      </c>
      <c r="S93" s="19">
        <f t="shared" si="17"/>
        <v>5</v>
      </c>
      <c r="T93" s="49">
        <f t="shared" si="18"/>
        <v>3</v>
      </c>
      <c r="U93" s="41">
        <f t="shared" si="19"/>
        <v>2.8333333333333335</v>
      </c>
    </row>
    <row r="94" spans="1:21" ht="23.25">
      <c r="A94" s="281">
        <f>IF(AND('Классный журнал'!C94="-",'Классный журнал'!D94&lt;=$J$5),-1,IF(AND('Классный журнал'!C94="-",'Классный журнал'!D94&gt;$J$5),"x",IF('Классный журнал'!C94="+",1,0)))</f>
        <v>0</v>
      </c>
      <c r="B94" s="126">
        <f t="shared" si="10"/>
      </c>
      <c r="C94" s="126">
        <f t="shared" si="11"/>
      </c>
      <c r="D94" s="22">
        <v>26</v>
      </c>
      <c r="E94" s="50" t="str">
        <f>IF('Классный журнал'!E94="","",IF(OR(A94=-1,A94="x"),"",IF(A94=1,'Классный журнал'!E94,'Классный журнал'!E94)))</f>
        <v>Савинов Александр</v>
      </c>
      <c r="F94" s="19">
        <f t="shared" si="12"/>
        <v>10</v>
      </c>
      <c r="G94" s="19">
        <f t="shared" si="13"/>
        <v>33</v>
      </c>
      <c r="H94" s="23">
        <f t="shared" si="14"/>
        <v>3.3</v>
      </c>
      <c r="I94" s="24">
        <f t="shared" si="15"/>
        <v>10</v>
      </c>
      <c r="J94" s="24">
        <f t="shared" si="16"/>
        <v>4</v>
      </c>
      <c r="K94" s="19">
        <f>IF(E94="","",COUNTIF('Классный журнал'!F94:IV94,5))</f>
        <v>1</v>
      </c>
      <c r="L94" s="19">
        <f>IF(E94="","",COUNTIF('Классный журнал'!F94:IV94,4))</f>
        <v>2</v>
      </c>
      <c r="M94" s="19">
        <f>IF(E94="","",COUNTIF('Классный журнал'!F94:IV94,3))</f>
        <v>6</v>
      </c>
      <c r="N94" s="19">
        <f>IF(E94="","",COUNTIF('Классный журнал'!F94:IV94,2))</f>
        <v>1</v>
      </c>
      <c r="O94" s="19">
        <f>IF(E94="","",COUNTIF('Классный журнал'!F94:IV94,1))</f>
        <v>0</v>
      </c>
      <c r="P94" s="19">
        <f>IF(E94="",0,COUNTIF('Классный журнал'!F94:IV94,"н/б"))</f>
        <v>0</v>
      </c>
      <c r="Q94" s="19">
        <f>IF(E94="",0,COUNTIF('Классный журнал'!F94:IV94,"н/у"))</f>
        <v>0</v>
      </c>
      <c r="R94" s="19">
        <f>IF(E94="",0,COUNTIF('Классный журнал'!F94:IV94,"н"))</f>
        <v>0</v>
      </c>
      <c r="S94" s="19">
        <f t="shared" si="17"/>
        <v>0</v>
      </c>
      <c r="T94" s="49">
        <f t="shared" si="18"/>
        <v>3</v>
      </c>
      <c r="U94" s="41">
        <f t="shared" si="19"/>
        <v>3.9411764705882355</v>
      </c>
    </row>
    <row r="95" spans="1:21" ht="24" thickBot="1">
      <c r="A95" s="281">
        <f>IF(AND('Классный журнал'!C95="-",'Классный журнал'!D95&lt;=$J$5),-1,IF(AND('Классный журнал'!C95="-",'Классный журнал'!D95&gt;$J$5),"x",IF('Классный журнал'!C95="+",1,0)))</f>
        <v>0</v>
      </c>
      <c r="B95" s="126" t="str">
        <f t="shared" si="10"/>
        <v>x</v>
      </c>
      <c r="C95" s="126">
        <f t="shared" si="11"/>
      </c>
      <c r="D95" s="22">
        <v>27</v>
      </c>
      <c r="E95" s="50" t="str">
        <f>IF('Классный журнал'!E95="","",IF(OR(A95=-1,A95="x"),"",IF(A95=1,'Классный журнал'!E95,'Классный журнал'!E95)))</f>
        <v>Фадеева Виктория</v>
      </c>
      <c r="F95" s="19">
        <f t="shared" si="12"/>
        <v>7</v>
      </c>
      <c r="G95" s="19">
        <f t="shared" si="13"/>
        <v>19</v>
      </c>
      <c r="H95" s="23">
        <f t="shared" si="14"/>
        <v>2.7142857142857144</v>
      </c>
      <c r="I95" s="24">
        <f t="shared" si="15"/>
        <v>23</v>
      </c>
      <c r="J95" s="24">
        <f t="shared" si="16"/>
        <v>21</v>
      </c>
      <c r="K95" s="19">
        <f>IF(E95="","",COUNTIF('Классный журнал'!F95:IV95,5))</f>
        <v>0</v>
      </c>
      <c r="L95" s="19">
        <f>IF(E95="","",COUNTIF('Классный журнал'!F95:IV95,4))</f>
        <v>1</v>
      </c>
      <c r="M95" s="19">
        <f>IF(E95="","",COUNTIF('Классный журнал'!F95:IV95,3))</f>
        <v>3</v>
      </c>
      <c r="N95" s="19">
        <f>IF(E95="","",COUNTIF('Классный журнал'!F95:IV95,2))</f>
        <v>3</v>
      </c>
      <c r="O95" s="19">
        <f>IF(E95="","",COUNTIF('Классный журнал'!F95:IV95,1))</f>
        <v>0</v>
      </c>
      <c r="P95" s="19">
        <f>IF(E95="",0,COUNTIF('Классный журнал'!F95:IV95,"н/б"))</f>
        <v>0</v>
      </c>
      <c r="Q95" s="19">
        <f>IF(E95="",0,COUNTIF('Классный журнал'!F95:IV95,"н/у"))</f>
        <v>0</v>
      </c>
      <c r="R95" s="19">
        <f>IF(E95="",0,COUNTIF('Классный журнал'!F95:IV95,"н"))</f>
        <v>0</v>
      </c>
      <c r="S95" s="19">
        <f t="shared" si="17"/>
        <v>0</v>
      </c>
      <c r="T95" s="49">
        <f t="shared" si="18"/>
        <v>3</v>
      </c>
      <c r="U95" s="41">
        <f t="shared" si="19"/>
        <v>2.7142857142857144</v>
      </c>
    </row>
    <row r="96" spans="1:24" ht="24" customHeight="1" thickTop="1">
      <c r="A96" s="281">
        <f>IF(AND('Классный журнал'!C96="-",'Классный журнал'!D96&lt;=$J$5),-1,IF(AND('Классный журнал'!C96="-",'Классный журнал'!D96&gt;$J$5),"x",IF('Классный журнал'!C96="+",1,0)))</f>
        <v>0</v>
      </c>
      <c r="B96" s="126">
        <f t="shared" si="10"/>
      </c>
      <c r="C96" s="126">
        <f t="shared" si="11"/>
      </c>
      <c r="D96" s="22">
        <v>28</v>
      </c>
      <c r="E96" s="50" t="str">
        <f>IF('Классный журнал'!E96="","",IF(OR(A96=-1,A96="x"),"",IF(A96=1,'Классный журнал'!E96,'Классный журнал'!E96)))</f>
        <v>Шестопалова Алёна</v>
      </c>
      <c r="F96" s="19">
        <f t="shared" si="12"/>
        <v>8</v>
      </c>
      <c r="G96" s="19">
        <f t="shared" si="13"/>
        <v>22</v>
      </c>
      <c r="H96" s="23">
        <f t="shared" si="14"/>
        <v>2.75</v>
      </c>
      <c r="I96" s="24">
        <f t="shared" si="15"/>
        <v>22</v>
      </c>
      <c r="J96" s="24">
        <f t="shared" si="16"/>
        <v>21</v>
      </c>
      <c r="K96" s="19">
        <f>IF(E96="","",COUNTIF('Классный журнал'!F96:IV96,5))</f>
        <v>0</v>
      </c>
      <c r="L96" s="19">
        <f>IF(E96="","",COUNTIF('Классный журнал'!F96:IV96,4))</f>
        <v>0</v>
      </c>
      <c r="M96" s="19">
        <f>IF(E96="","",COUNTIF('Классный журнал'!F96:IV96,3))</f>
        <v>6</v>
      </c>
      <c r="N96" s="19">
        <f>IF(E96="","",COUNTIF('Классный журнал'!F96:IV96,2))</f>
        <v>2</v>
      </c>
      <c r="O96" s="19">
        <f>IF(E96="","",COUNTIF('Классный журнал'!F96:IV96,1))</f>
        <v>0</v>
      </c>
      <c r="P96" s="19">
        <f>IF(E96="",0,COUNTIF('Классный журнал'!F96:IV96,"н/б"))</f>
        <v>0</v>
      </c>
      <c r="Q96" s="19">
        <f>IF(E96="",0,COUNTIF('Классный журнал'!F96:IV96,"н/у"))</f>
        <v>0</v>
      </c>
      <c r="R96" s="19">
        <f>IF(E96="",0,COUNTIF('Классный журнал'!F96:IV96,"н"))</f>
        <v>0</v>
      </c>
      <c r="S96" s="19">
        <f t="shared" si="17"/>
        <v>0</v>
      </c>
      <c r="T96" s="49">
        <f t="shared" si="18"/>
        <v>3</v>
      </c>
      <c r="U96" s="41">
        <f t="shared" si="19"/>
        <v>2.7142857142857144</v>
      </c>
      <c r="V96" s="328" t="s">
        <v>83</v>
      </c>
      <c r="W96" s="31" t="s">
        <v>40</v>
      </c>
      <c r="X96" s="15">
        <f>COUNTIF(T69:T103,"5")</f>
        <v>1</v>
      </c>
    </row>
    <row r="97" spans="1:24" ht="23.25">
      <c r="A97" s="281">
        <f>IF(AND('Классный журнал'!C97="-",'Классный журнал'!D97&lt;=$J$5),-1,IF(AND('Классный журнал'!C97="-",'Классный журнал'!D97&gt;$J$5),"x",IF('Классный журнал'!C97="+",1,0)))</f>
        <v>1</v>
      </c>
      <c r="B97" s="126" t="str">
        <f t="shared" si="10"/>
        <v>XX</v>
      </c>
      <c r="C97" s="126">
        <f t="shared" si="11"/>
      </c>
      <c r="D97" s="22">
        <v>29</v>
      </c>
      <c r="E97" s="50" t="str">
        <f>IF('Классный журнал'!E97="","",IF(OR(A97=-1,A97="x"),"",IF(A97=1,'Классный журнал'!E97,'Классный журнал'!E97)))</f>
        <v>Егоров Иван</v>
      </c>
      <c r="F97" s="19">
        <f t="shared" si="12"/>
        <v>6</v>
      </c>
      <c r="G97" s="19">
        <f t="shared" si="13"/>
        <v>24</v>
      </c>
      <c r="H97" s="23">
        <f t="shared" si="14"/>
        <v>4</v>
      </c>
      <c r="I97" s="24">
        <f t="shared" si="15"/>
        <v>2</v>
      </c>
      <c r="J97" s="24">
        <f t="shared" si="16"/>
        <v>6</v>
      </c>
      <c r="K97" s="19">
        <f>IF(E97="","",COUNTIF('Классный журнал'!F97:IV97,5))</f>
        <v>3</v>
      </c>
      <c r="L97" s="19">
        <f>IF(E97="","",COUNTIF('Классный журнал'!F97:IV97,4))</f>
        <v>1</v>
      </c>
      <c r="M97" s="19">
        <f>IF(E97="","",COUNTIF('Классный журнал'!F97:IV97,3))</f>
        <v>1</v>
      </c>
      <c r="N97" s="19">
        <f>IF(E97="","",COUNTIF('Классный журнал'!F97:IV97,2))</f>
        <v>1</v>
      </c>
      <c r="O97" s="19">
        <f>IF(E97="","",COUNTIF('Классный журнал'!F97:IV97,1))</f>
        <v>0</v>
      </c>
      <c r="P97" s="19">
        <f>IF(E97="",0,COUNTIF('Классный журнал'!F97:IV97,"н/б"))</f>
        <v>0</v>
      </c>
      <c r="Q97" s="19">
        <f>IF(E97="",0,COUNTIF('Классный журнал'!F97:IV97,"н/у"))</f>
        <v>0</v>
      </c>
      <c r="R97" s="19">
        <f>IF(E97="",0,COUNTIF('Классный журнал'!F97:IV97,"н"))</f>
        <v>0</v>
      </c>
      <c r="S97" s="19">
        <f t="shared" si="17"/>
        <v>0</v>
      </c>
      <c r="T97" s="49">
        <f t="shared" si="18"/>
        <v>4</v>
      </c>
      <c r="U97" s="41">
        <f t="shared" si="19"/>
        <v>3.769230769230769</v>
      </c>
      <c r="V97" s="329"/>
      <c r="W97" s="19" t="s">
        <v>41</v>
      </c>
      <c r="X97" s="21">
        <f>COUNTIF(T69:T103,"4")</f>
        <v>5</v>
      </c>
    </row>
    <row r="98" spans="1:24" ht="23.25">
      <c r="A98" s="281">
        <f>IF(AND('Классный журнал'!C98="-",'Классный журнал'!D98&lt;=$J$5),-1,IF(AND('Классный журнал'!C98="-",'Классный журнал'!D98&gt;$J$5),"x",IF('Классный журнал'!C98="+",1,0)))</f>
        <v>1</v>
      </c>
      <c r="B98" s="126" t="str">
        <f t="shared" si="10"/>
        <v>x</v>
      </c>
      <c r="C98" s="126">
        <f t="shared" si="11"/>
      </c>
      <c r="D98" s="22">
        <v>30</v>
      </c>
      <c r="E98" s="50" t="str">
        <f>IF('Классный журнал'!E98="","",IF(OR(A98=-1,A98="x"),"",IF(A98=1,'Классный журнал'!E98,'Классный журнал'!E98)))</f>
        <v>Степанов Олег</v>
      </c>
      <c r="F98" s="19">
        <f t="shared" si="12"/>
        <v>7</v>
      </c>
      <c r="G98" s="19">
        <f t="shared" si="13"/>
        <v>21</v>
      </c>
      <c r="H98" s="23">
        <f t="shared" si="14"/>
        <v>3</v>
      </c>
      <c r="I98" s="24">
        <f t="shared" si="15"/>
        <v>15</v>
      </c>
      <c r="J98" s="24">
        <f t="shared" si="16"/>
        <v>14</v>
      </c>
      <c r="K98" s="19">
        <f>IF(E98="","",COUNTIF('Классный журнал'!F98:IV98,5))</f>
        <v>0</v>
      </c>
      <c r="L98" s="19">
        <f>IF(E98="","",COUNTIF('Классный журнал'!F98:IV98,4))</f>
        <v>0</v>
      </c>
      <c r="M98" s="19">
        <f>IF(E98="","",COUNTIF('Классный журнал'!F98:IV98,3))</f>
        <v>7</v>
      </c>
      <c r="N98" s="19">
        <f>IF(E98="","",COUNTIF('Классный журнал'!F98:IV98,2))</f>
        <v>0</v>
      </c>
      <c r="O98" s="19">
        <f>IF(E98="","",COUNTIF('Классный журнал'!F98:IV98,1))</f>
        <v>0</v>
      </c>
      <c r="P98" s="19">
        <f>IF(E98="",0,COUNTIF('Классный журнал'!F98:IV98,"н/б"))</f>
        <v>0</v>
      </c>
      <c r="Q98" s="19">
        <f>IF(E98="",0,COUNTIF('Классный журнал'!F98:IV98,"н/у"))</f>
        <v>0</v>
      </c>
      <c r="R98" s="19">
        <f>IF(E98="",0,COUNTIF('Классный журнал'!F98:IV98,"н"))</f>
        <v>0</v>
      </c>
      <c r="S98" s="19">
        <f t="shared" si="17"/>
        <v>0</v>
      </c>
      <c r="T98" s="49">
        <f t="shared" si="18"/>
        <v>3</v>
      </c>
      <c r="U98" s="41">
        <f t="shared" si="19"/>
        <v>3</v>
      </c>
      <c r="V98" s="329"/>
      <c r="W98" s="19" t="s">
        <v>42</v>
      </c>
      <c r="X98" s="21">
        <f>COUNTIF(T69:T103,"3")</f>
        <v>20</v>
      </c>
    </row>
    <row r="99" spans="1:24" ht="23.25">
      <c r="A99" s="281">
        <f>IF(AND('Классный журнал'!C99="-",'Классный журнал'!D99&lt;=$J$5),-1,IF(AND('Классный журнал'!C99="-",'Классный журнал'!D99&gt;$J$5),"x",IF('Классный журнал'!C99="+",1,0)))</f>
        <v>0</v>
      </c>
      <c r="B99" s="126">
        <f t="shared" si="10"/>
      </c>
      <c r="C99" s="126">
        <f t="shared" si="11"/>
      </c>
      <c r="D99" s="22">
        <v>31</v>
      </c>
      <c r="E99" s="50">
        <f>IF('Классный журнал'!E99="","",IF(OR(A99=-1,A99="x"),"",IF(A99=1,'Классный журнал'!E99,'Классный журнал'!E99)))</f>
      </c>
      <c r="F99" s="19">
        <f t="shared" si="12"/>
        <v>0</v>
      </c>
      <c r="G99" s="19">
        <f t="shared" si="13"/>
        <v>0</v>
      </c>
      <c r="H99" s="23">
        <f t="shared" si="14"/>
      </c>
      <c r="I99" s="24">
        <f t="shared" si="15"/>
      </c>
      <c r="J99" s="24">
        <f t="shared" si="16"/>
      </c>
      <c r="K99" s="19">
        <f>IF(E99="","",COUNTIF('Классный журнал'!F99:IV99,5))</f>
      </c>
      <c r="L99" s="19">
        <f>IF(E99="","",COUNTIF('Классный журнал'!F99:IV99,4))</f>
      </c>
      <c r="M99" s="19">
        <f>IF(E99="","",COUNTIF('Классный журнал'!F99:IV99,3))</f>
      </c>
      <c r="N99" s="19">
        <f>IF(E99="","",COUNTIF('Классный журнал'!F99:IV99,2))</f>
      </c>
      <c r="O99" s="19">
        <f>IF(E99="","",COUNTIF('Классный журнал'!F99:IV99,1))</f>
      </c>
      <c r="P99" s="19">
        <f>IF(E99="",0,COUNTIF('Классный журнал'!F99:IV99,"н/б"))</f>
        <v>0</v>
      </c>
      <c r="Q99" s="19">
        <f>IF(E99="",0,COUNTIF('Классный журнал'!F99:IV99,"н/у"))</f>
        <v>0</v>
      </c>
      <c r="R99" s="19">
        <f>IF(E99="",0,COUNTIF('Классный журнал'!F99:IV99,"н"))</f>
        <v>0</v>
      </c>
      <c r="S99" s="19">
        <f t="shared" si="17"/>
      </c>
      <c r="T99" s="49">
        <f t="shared" si="18"/>
      </c>
      <c r="U99" s="41">
        <f t="shared" si="19"/>
      </c>
      <c r="V99" s="329"/>
      <c r="W99" s="19" t="s">
        <v>43</v>
      </c>
      <c r="X99" s="21">
        <f>COUNTIF(T69:T103,"2")</f>
        <v>2</v>
      </c>
    </row>
    <row r="100" spans="1:24" ht="24" thickBot="1">
      <c r="A100" s="281">
        <f>IF(AND('Классный журнал'!C100="-",'Классный журнал'!D100&lt;=$J$5),-1,IF(AND('Классный журнал'!C100="-",'Классный журнал'!D100&gt;$J$5),"x",IF('Классный журнал'!C100="+",1,0)))</f>
        <v>0</v>
      </c>
      <c r="B100" s="126">
        <f t="shared" si="10"/>
      </c>
      <c r="C100" s="126">
        <f t="shared" si="11"/>
      </c>
      <c r="D100" s="22">
        <v>32</v>
      </c>
      <c r="E100" s="50">
        <f>IF('Классный журнал'!E100="","",IF(OR(A100=-1,A100="x"),"",IF(A100=1,'Классный журнал'!E100,'Классный журнал'!E100)))</f>
      </c>
      <c r="F100" s="19">
        <f t="shared" si="12"/>
        <v>0</v>
      </c>
      <c r="G100" s="19">
        <f t="shared" si="13"/>
        <v>0</v>
      </c>
      <c r="H100" s="23">
        <f t="shared" si="14"/>
      </c>
      <c r="I100" s="24">
        <f t="shared" si="15"/>
      </c>
      <c r="J100" s="24">
        <f t="shared" si="16"/>
      </c>
      <c r="K100" s="19">
        <f>IF(E100="","",COUNTIF('Классный журнал'!F100:IV100,5))</f>
      </c>
      <c r="L100" s="19">
        <f>IF(E100="","",COUNTIF('Классный журнал'!F100:IV100,4))</f>
      </c>
      <c r="M100" s="19">
        <f>IF(E100="","",COUNTIF('Классный журнал'!F100:IV100,3))</f>
      </c>
      <c r="N100" s="19">
        <f>IF(E100="","",COUNTIF('Классный журнал'!F100:IV100,2))</f>
      </c>
      <c r="O100" s="19">
        <f>IF(E100="","",COUNTIF('Классный журнал'!F100:IV100,1))</f>
      </c>
      <c r="P100" s="19">
        <f>IF(E100="",0,COUNTIF('Классный журнал'!F100:IV100,"н/б"))</f>
        <v>0</v>
      </c>
      <c r="Q100" s="19">
        <f>IF(E100="",0,COUNTIF('Классный журнал'!F100:IV100,"н/у"))</f>
        <v>0</v>
      </c>
      <c r="R100" s="19">
        <f>IF(E100="",0,COUNTIF('Классный журнал'!F100:IV100,"н"))</f>
        <v>0</v>
      </c>
      <c r="S100" s="19">
        <f t="shared" si="17"/>
      </c>
      <c r="T100" s="49">
        <f t="shared" si="18"/>
      </c>
      <c r="U100" s="41">
        <f t="shared" si="19"/>
      </c>
      <c r="V100" s="329"/>
      <c r="W100" s="36" t="s">
        <v>44</v>
      </c>
      <c r="X100" s="282">
        <f>COUNTIF(T69:T103,"1")</f>
        <v>0</v>
      </c>
    </row>
    <row r="101" spans="1:24" ht="24" thickTop="1">
      <c r="A101" s="281">
        <f>IF(AND('Классный журнал'!C101="-",'Классный журнал'!D101&lt;=$J$5),-1,IF(AND('Классный журнал'!C101="-",'Классный журнал'!D101&gt;$J$5),"x",IF('Классный журнал'!C101="+",1,0)))</f>
        <v>0</v>
      </c>
      <c r="B101" s="126">
        <f t="shared" si="10"/>
      </c>
      <c r="C101" s="126">
        <f t="shared" si="11"/>
      </c>
      <c r="D101" s="22">
        <v>33</v>
      </c>
      <c r="E101" s="50">
        <f>IF('Классный журнал'!E101="","",IF(OR(A101=-1,A101="x"),"",IF(A101=1,'Классный журнал'!E101,'Классный журнал'!E101)))</f>
      </c>
      <c r="F101" s="19">
        <f t="shared" si="12"/>
        <v>0</v>
      </c>
      <c r="G101" s="19">
        <f t="shared" si="13"/>
        <v>0</v>
      </c>
      <c r="H101" s="23">
        <f t="shared" si="14"/>
      </c>
      <c r="I101" s="24">
        <f t="shared" si="15"/>
      </c>
      <c r="J101" s="24">
        <f t="shared" si="16"/>
      </c>
      <c r="K101" s="19">
        <f>IF(E101="","",COUNTIF('Классный журнал'!F101:IV101,5))</f>
      </c>
      <c r="L101" s="19">
        <f>IF(E101="","",COUNTIF('Классный журнал'!F101:IV101,4))</f>
      </c>
      <c r="M101" s="19">
        <f>IF(E101="","",COUNTIF('Классный журнал'!F101:IV101,3))</f>
      </c>
      <c r="N101" s="19">
        <f>IF(E101="","",COUNTIF('Классный журнал'!F101:IV101,2))</f>
      </c>
      <c r="O101" s="19">
        <f>IF(E101="","",COUNTIF('Классный журнал'!F101:IV101,1))</f>
      </c>
      <c r="P101" s="19">
        <f>IF(E101="",0,COUNTIF('Классный журнал'!F101:IV101,"н/б"))</f>
        <v>0</v>
      </c>
      <c r="Q101" s="19">
        <f>IF(E101="",0,COUNTIF('Классный журнал'!F101:IV101,"н/у"))</f>
        <v>0</v>
      </c>
      <c r="R101" s="19">
        <f>IF(E101="",0,COUNTIF('Классный журнал'!F101:IV101,"н"))</f>
        <v>0</v>
      </c>
      <c r="S101" s="19">
        <f t="shared" si="17"/>
      </c>
      <c r="T101" s="49">
        <f t="shared" si="18"/>
      </c>
      <c r="U101" s="41">
        <f t="shared" si="19"/>
      </c>
      <c r="V101" s="330" t="s">
        <v>199</v>
      </c>
      <c r="W101" s="331"/>
      <c r="X101" s="15">
        <f>35-(COUNTIF(T69:T103,"н/а")+COUNTIF(T69:T103,""))</f>
        <v>28</v>
      </c>
    </row>
    <row r="102" spans="1:24" ht="23.25">
      <c r="A102" s="281">
        <f>IF(AND('Классный журнал'!C102="-",'Классный журнал'!D102&lt;=$J$5),-1,IF(AND('Классный журнал'!C102="-",'Классный журнал'!D102&gt;$J$5),"x",IF('Классный журнал'!C102="+",1,0)))</f>
        <v>0</v>
      </c>
      <c r="B102" s="126">
        <f t="shared" si="10"/>
      </c>
      <c r="C102" s="126">
        <f t="shared" si="11"/>
      </c>
      <c r="D102" s="22">
        <v>34</v>
      </c>
      <c r="E102" s="50">
        <f>IF('Классный журнал'!E102="","",IF(OR(A102=-1,A102="x"),"",IF(A102=1,'Классный журнал'!E102,'Классный журнал'!E102)))</f>
      </c>
      <c r="F102" s="19">
        <f t="shared" si="12"/>
        <v>0</v>
      </c>
      <c r="G102" s="19">
        <f t="shared" si="13"/>
        <v>0</v>
      </c>
      <c r="H102" s="23">
        <f t="shared" si="14"/>
      </c>
      <c r="I102" s="24">
        <f t="shared" si="15"/>
      </c>
      <c r="J102" s="24">
        <f t="shared" si="16"/>
      </c>
      <c r="K102" s="19">
        <f>IF(E102="","",COUNTIF('Классный журнал'!F102:IV102,5))</f>
      </c>
      <c r="L102" s="19">
        <f>IF(E102="","",COUNTIF('Классный журнал'!F102:IV102,4))</f>
      </c>
      <c r="M102" s="19">
        <f>IF(E102="","",COUNTIF('Классный журнал'!F102:IV102,3))</f>
      </c>
      <c r="N102" s="19">
        <f>IF(E102="","",COUNTIF('Классный журнал'!F102:IV102,2))</f>
      </c>
      <c r="O102" s="19">
        <f>IF(E102="","",COUNTIF('Классный журнал'!F102:IV102,1))</f>
      </c>
      <c r="P102" s="19">
        <f>IF(E102="",0,COUNTIF('Классный журнал'!F102:IV102,"н/б"))</f>
        <v>0</v>
      </c>
      <c r="Q102" s="19">
        <f>IF(E102="",0,COUNTIF('Классный журнал'!F102:IV102,"н/у"))</f>
        <v>0</v>
      </c>
      <c r="R102" s="19">
        <f>IF(E102="",0,COUNTIF('Классный журнал'!F102:IV102,"н"))</f>
        <v>0</v>
      </c>
      <c r="S102" s="19">
        <f t="shared" si="17"/>
      </c>
      <c r="T102" s="49">
        <f t="shared" si="18"/>
      </c>
      <c r="U102" s="41">
        <f t="shared" si="19"/>
      </c>
      <c r="V102" s="332" t="s">
        <v>78</v>
      </c>
      <c r="W102" s="333"/>
      <c r="X102" s="32">
        <f>(X96+X97+X98)/X101</f>
        <v>0.9285714285714286</v>
      </c>
    </row>
    <row r="103" spans="1:24" ht="23.25">
      <c r="A103" s="281">
        <f>IF(AND('Классный журнал'!C103="-",'Классный журнал'!D103&lt;=$J$5),-1,IF(AND('Классный журнал'!C103="-",'Классный журнал'!D103&gt;$J$5),"x",IF('Классный журнал'!C103="+",1,0)))</f>
        <v>0</v>
      </c>
      <c r="B103" s="126">
        <f t="shared" si="10"/>
      </c>
      <c r="C103" s="126">
        <f t="shared" si="11"/>
      </c>
      <c r="D103" s="22">
        <v>35</v>
      </c>
      <c r="E103" s="50">
        <f>IF('Классный журнал'!E103="","",IF(OR(A103=-1,A103="x"),"",IF(A103=1,'Классный журнал'!E103,'Классный журнал'!E103)))</f>
      </c>
      <c r="F103" s="19">
        <f t="shared" si="12"/>
        <v>0</v>
      </c>
      <c r="G103" s="19">
        <f t="shared" si="13"/>
        <v>0</v>
      </c>
      <c r="H103" s="23">
        <f t="shared" si="14"/>
      </c>
      <c r="I103" s="24">
        <f t="shared" si="15"/>
      </c>
      <c r="J103" s="24">
        <f t="shared" si="16"/>
      </c>
      <c r="K103" s="19">
        <f>IF(E103="","",COUNTIF('Классный журнал'!F103:IV103,5))</f>
      </c>
      <c r="L103" s="19">
        <f>IF(E103="","",COUNTIF('Классный журнал'!F103:IV103,4))</f>
      </c>
      <c r="M103" s="19">
        <f>IF(E103="","",COUNTIF('Классный журнал'!F103:IV103,3))</f>
      </c>
      <c r="N103" s="19">
        <f>IF(E103="","",COUNTIF('Классный журнал'!F103:IV103,2))</f>
      </c>
      <c r="O103" s="19">
        <f>IF(E103="","",COUNTIF('Классный журнал'!F103:IV103,1))</f>
      </c>
      <c r="P103" s="19">
        <f>IF(E103="",0,COUNTIF('Классный журнал'!F103:IV103,"н/б"))</f>
        <v>0</v>
      </c>
      <c r="Q103" s="19">
        <f>IF(E103="",0,COUNTIF('Классный журнал'!F103:IV103,"н/у"))</f>
        <v>0</v>
      </c>
      <c r="R103" s="19">
        <f>IF(E103="",0,COUNTIF('Классный журнал'!F103:IV103,"н"))</f>
        <v>0</v>
      </c>
      <c r="S103" s="19">
        <f t="shared" si="17"/>
      </c>
      <c r="T103" s="49">
        <f t="shared" si="18"/>
      </c>
      <c r="U103" s="41">
        <f t="shared" si="19"/>
      </c>
      <c r="V103" s="332" t="s">
        <v>79</v>
      </c>
      <c r="W103" s="333"/>
      <c r="X103" s="32">
        <f>(X96+X97)/X101</f>
        <v>0.21428571428571427</v>
      </c>
    </row>
    <row r="104" spans="2:24" ht="18.75" thickBot="1">
      <c r="B104" s="80"/>
      <c r="C104" s="80">
        <f>IF(E44="","",IF(ROUND($C$68,0)&lt;=F104,"",IF(ROUND($C$68,0)-F104=1,"x","XX")))</f>
      </c>
      <c r="D104" s="87"/>
      <c r="E104" s="25"/>
      <c r="F104" s="352" t="s">
        <v>49</v>
      </c>
      <c r="G104" s="353"/>
      <c r="H104" s="26">
        <f>SUM(H69:H103)/D68</f>
        <v>3.1814200680272102</v>
      </c>
      <c r="I104" s="57"/>
      <c r="J104" s="27" t="s">
        <v>50</v>
      </c>
      <c r="K104" s="28">
        <f aca="true" t="shared" si="20" ref="K104:R104">SUM(K69:K98)</f>
        <v>23</v>
      </c>
      <c r="L104" s="28">
        <f t="shared" si="20"/>
        <v>46</v>
      </c>
      <c r="M104" s="28">
        <f t="shared" si="20"/>
        <v>111</v>
      </c>
      <c r="N104" s="28">
        <f t="shared" si="20"/>
        <v>36</v>
      </c>
      <c r="O104" s="28">
        <f t="shared" si="20"/>
        <v>6</v>
      </c>
      <c r="P104" s="128">
        <f t="shared" si="20"/>
        <v>12</v>
      </c>
      <c r="Q104" s="28">
        <f t="shared" si="20"/>
        <v>7</v>
      </c>
      <c r="R104" s="28">
        <f t="shared" si="20"/>
        <v>20</v>
      </c>
      <c r="S104" s="60">
        <f>SUM(P104:R104)</f>
        <v>39</v>
      </c>
      <c r="T104" s="30"/>
      <c r="V104" s="322" t="s">
        <v>80</v>
      </c>
      <c r="W104" s="323"/>
      <c r="X104" s="134">
        <f>(X96+X97*0.64+X98*0.32+(X99+X100)*0.16)/X101</f>
        <v>0.39000000000000007</v>
      </c>
    </row>
    <row r="105" spans="2:20" ht="18.75" thickTop="1">
      <c r="B105" s="1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135">
        <f>COUNT(T69:T103)</f>
        <v>28</v>
      </c>
    </row>
    <row r="106" spans="2:16" ht="18.75" customHeight="1">
      <c r="B106" s="1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7" ht="18" hidden="1">
      <c r="B107" s="1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8" hidden="1">
      <c r="B108" s="1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8" hidden="1">
      <c r="B109" s="1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8" hidden="1">
      <c r="B110" s="1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8" customHeight="1" hidden="1">
      <c r="B111" s="1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6" ht="18" customHeight="1" hidden="1">
      <c r="B112" s="1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8" customHeight="1" hidden="1">
      <c r="B113" s="1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ht="18.75" customHeight="1" hidden="1"/>
    <row r="115" spans="17:20" ht="18" hidden="1">
      <c r="Q115" s="38"/>
      <c r="R115" s="38"/>
      <c r="S115" s="38"/>
      <c r="T115" s="55"/>
    </row>
    <row r="116" spans="17:20" ht="18" hidden="1">
      <c r="Q116" s="38"/>
      <c r="R116" s="38"/>
      <c r="S116" s="38"/>
      <c r="T116" s="55"/>
    </row>
    <row r="117" spans="17:20" ht="18" hidden="1">
      <c r="Q117" s="38"/>
      <c r="R117" s="38"/>
      <c r="S117" s="38"/>
      <c r="T117" s="55"/>
    </row>
    <row r="118" spans="17:20" ht="18" hidden="1">
      <c r="Q118" s="38"/>
      <c r="R118" s="38"/>
      <c r="S118" s="38"/>
      <c r="T118" s="55"/>
    </row>
    <row r="119" spans="17:20" ht="18" hidden="1">
      <c r="Q119" s="38"/>
      <c r="R119" s="38"/>
      <c r="S119" s="38"/>
      <c r="T119" s="55"/>
    </row>
    <row r="120" ht="12.75" hidden="1"/>
    <row r="121" spans="2:19" ht="12.75" hidden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2:19" ht="12.75" hidden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ht="12.75" hidden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2:19" ht="18.75" thickBot="1">
      <c r="B124" s="5"/>
      <c r="C124" s="6"/>
      <c r="D124" s="5"/>
      <c r="E124" s="5"/>
      <c r="F124" s="5"/>
      <c r="G124" s="5"/>
      <c r="H124" s="5"/>
      <c r="I124" s="5"/>
      <c r="J124" s="5"/>
      <c r="K124" s="6"/>
      <c r="L124" s="5"/>
      <c r="M124" s="5"/>
      <c r="N124" s="5"/>
      <c r="O124" s="6"/>
      <c r="P124" s="5"/>
      <c r="Q124" s="1"/>
      <c r="R124" s="1"/>
      <c r="S124" s="1"/>
    </row>
    <row r="125" spans="2:20" ht="49.5" customHeight="1" thickBot="1" thickTop="1">
      <c r="B125" s="280">
        <f>SUM(F129:F163)/(COUNT(F129:F163)-COUNTIF(F129:F163,0))</f>
        <v>11.857142857142858</v>
      </c>
      <c r="C125" s="348" t="s">
        <v>221</v>
      </c>
      <c r="D125" s="48"/>
      <c r="E125" s="75" t="s">
        <v>214</v>
      </c>
      <c r="F125" s="76" t="s">
        <v>215</v>
      </c>
      <c r="G125" s="77" t="s">
        <v>230</v>
      </c>
      <c r="H125" s="324" t="s">
        <v>216</v>
      </c>
      <c r="I125" s="325"/>
      <c r="J125" s="114">
        <f>T65</f>
        <v>28</v>
      </c>
      <c r="K125" s="324" t="s">
        <v>217</v>
      </c>
      <c r="L125" s="340"/>
      <c r="M125" s="340"/>
      <c r="N125" s="79">
        <f>COUNTIF(A129:A163,1)+COUNTIF(A129:A163,"x")-N5-N65</f>
        <v>1</v>
      </c>
      <c r="O125" s="324" t="s">
        <v>218</v>
      </c>
      <c r="P125" s="340"/>
      <c r="Q125" s="79">
        <f>(COUNTIF(A129:A163,-1)+COUNTIF(A129:A163,"x"))-Q5-Q65</f>
        <v>1</v>
      </c>
      <c r="R125" s="341" t="s">
        <v>223</v>
      </c>
      <c r="S125" s="342"/>
      <c r="T125" s="79">
        <f>J125+N125-Q125</f>
        <v>28</v>
      </c>
    </row>
    <row r="126" spans="2:20" ht="20.25" customHeight="1" thickBot="1" thickTop="1">
      <c r="B126" s="345" t="s">
        <v>220</v>
      </c>
      <c r="C126" s="349"/>
      <c r="D126" s="9"/>
      <c r="E126" s="10">
        <f ca="1">NOW()</f>
        <v>39252.58940462963</v>
      </c>
      <c r="F126" s="11" t="s">
        <v>32</v>
      </c>
      <c r="G126" s="343" t="s">
        <v>201</v>
      </c>
      <c r="H126" s="344"/>
      <c r="I126" s="344"/>
      <c r="J126" s="125">
        <v>10</v>
      </c>
      <c r="K126" s="343" t="s">
        <v>190</v>
      </c>
      <c r="L126" s="344"/>
      <c r="M126" s="344"/>
      <c r="N126" s="344"/>
      <c r="O126" s="125">
        <f>'Классный журнал'!$D$124</f>
        <v>2</v>
      </c>
      <c r="P126" s="338" t="s">
        <v>34</v>
      </c>
      <c r="Q126" s="339"/>
      <c r="R126" s="339"/>
      <c r="S126" s="29">
        <f>COUNT('Классный журнал'!F128:IV128)</f>
        <v>20</v>
      </c>
      <c r="T126" s="34" t="s">
        <v>35</v>
      </c>
    </row>
    <row r="127" spans="1:20" ht="54.75" customHeight="1" thickTop="1">
      <c r="A127" s="113"/>
      <c r="B127" s="346"/>
      <c r="C127" s="349"/>
      <c r="D127" s="16" t="s">
        <v>1</v>
      </c>
      <c r="E127" s="17" t="str">
        <f>'Классный журнал'!E127</f>
        <v>Учащихся   28</v>
      </c>
      <c r="F127" s="17" t="s">
        <v>36</v>
      </c>
      <c r="G127" s="17" t="s">
        <v>37</v>
      </c>
      <c r="H127" s="17" t="s">
        <v>38</v>
      </c>
      <c r="I127" s="17" t="s">
        <v>189</v>
      </c>
      <c r="J127" s="17" t="s">
        <v>184</v>
      </c>
      <c r="K127" s="334" t="s">
        <v>185</v>
      </c>
      <c r="L127" s="335"/>
      <c r="M127" s="335"/>
      <c r="N127" s="335"/>
      <c r="O127" s="337"/>
      <c r="P127" s="334" t="s">
        <v>39</v>
      </c>
      <c r="Q127" s="335"/>
      <c r="R127" s="335"/>
      <c r="S127" s="336"/>
      <c r="T127" s="18" t="s">
        <v>92</v>
      </c>
    </row>
    <row r="128" spans="2:20" ht="18" customHeight="1">
      <c r="B128" s="347"/>
      <c r="C128" s="350"/>
      <c r="D128" s="17">
        <f>35-COUNTBLANK(E129:E163)</f>
        <v>28</v>
      </c>
      <c r="E128" s="17" t="s">
        <v>2</v>
      </c>
      <c r="F128" s="17"/>
      <c r="G128" s="17"/>
      <c r="H128" s="17">
        <f>COUNTA(E129:E163)-COUNTBLANK(E129:E163)</f>
        <v>28</v>
      </c>
      <c r="I128" s="17"/>
      <c r="J128" s="17"/>
      <c r="K128" s="19" t="s">
        <v>40</v>
      </c>
      <c r="L128" s="19" t="s">
        <v>41</v>
      </c>
      <c r="M128" s="19" t="s">
        <v>42</v>
      </c>
      <c r="N128" s="19" t="s">
        <v>43</v>
      </c>
      <c r="O128" s="19" t="s">
        <v>44</v>
      </c>
      <c r="P128" s="20" t="s">
        <v>45</v>
      </c>
      <c r="Q128" s="20" t="s">
        <v>46</v>
      </c>
      <c r="R128" s="20" t="s">
        <v>47</v>
      </c>
      <c r="S128" s="19" t="s">
        <v>48</v>
      </c>
      <c r="T128" s="21"/>
    </row>
    <row r="129" spans="1:21" ht="23.25">
      <c r="A129" s="281">
        <f>IF(AND('Классный журнал'!C129="-",'Классный журнал'!D129&lt;=$J$5),-1,IF(AND('Классный журнал'!C129="-",'Классный журнал'!D129&gt;$J$5),"x",IF('Классный журнал'!C129="+",1,0)))</f>
        <v>0</v>
      </c>
      <c r="B129" s="126">
        <f>IF(E129="","",IF(ROUND($B$125,0)&lt;=F129,"",IF(ROUND($B$125,0)-F129=1,"x","XX")))</f>
      </c>
      <c r="C129" s="80">
        <f>IF(E129="","",IF(H129&lt;2.5,"!",""))</f>
      </c>
      <c r="D129" s="22">
        <v>1</v>
      </c>
      <c r="E129" s="50" t="str">
        <f>IF('Классный журнал'!E129="","",IF(OR(A129=-1,A129="x"),"",IF(A129=1,'Классный журнал'!E129,'Классный журнал'!E129)))</f>
        <v>Алексеева Настя</v>
      </c>
      <c r="F129" s="19">
        <f>IF(E129="",0,SUM(K129:O129))</f>
        <v>12</v>
      </c>
      <c r="G129" s="19">
        <f>IF(E129="",0,SUM(K129*5,L129*4,M129*3,N129*2,O129))</f>
        <v>40</v>
      </c>
      <c r="H129" s="23">
        <f>IF(E129="","",G129/F129)</f>
        <v>3.3333333333333335</v>
      </c>
      <c r="I129" s="24">
        <f>IF(E129="","",RANK(H129,$H$129:$H$163,0))</f>
        <v>14</v>
      </c>
      <c r="J129" s="24">
        <f>IF(E129="","",RANK(U129,$U$129:$U$163,0))</f>
        <v>10</v>
      </c>
      <c r="K129" s="19">
        <f>IF(E129="","",COUNTIF('Классный журнал'!F129:IV129,5))</f>
        <v>1</v>
      </c>
      <c r="L129" s="19">
        <f>IF(E129="","",COUNTIF('Классный журнал'!F129:IV129,4))</f>
        <v>5</v>
      </c>
      <c r="M129" s="19">
        <f>IF(E129="","",COUNTIF('Классный журнал'!F129:IV129,3))</f>
        <v>4</v>
      </c>
      <c r="N129" s="19">
        <f>IF(E129="","",COUNTIF('Классный журнал'!F129:IV129,2))</f>
        <v>1</v>
      </c>
      <c r="O129" s="19">
        <f>IF(E129="","",COUNTIF('Классный журнал'!F129:IV129,1))</f>
        <v>1</v>
      </c>
      <c r="P129" s="19">
        <f>IF(E129="",0,COUNTIF('Классный журнал'!F129:IV129,"н/б"))</f>
        <v>0</v>
      </c>
      <c r="Q129" s="19">
        <f>IF(E129="",0,COUNTIF('Классный журнал'!F129:IV129,"н/у"))</f>
        <v>0</v>
      </c>
      <c r="R129" s="19">
        <f>IF(E129="",0,COUNTIF('Классный журнал'!F129:IV129,"н"))</f>
        <v>1</v>
      </c>
      <c r="S129" s="19">
        <f>IF(E129="","",SUM(P129:R129))</f>
        <v>1</v>
      </c>
      <c r="T129" s="49">
        <f>IF(E129="","",IF(F129&lt;($O$126*3),"н/а",IF(H129&gt;=4.8,5,IF(AND(3.7&lt;=H129,H129&lt;4.8),4,IF(AND(2.5&lt;=H129,H129&lt;3.7),3,IF(H129=0,"--",2))))))</f>
        <v>3</v>
      </c>
      <c r="U129" s="41">
        <f>IF(E129="","",(G9+G69+G129)/(F9+F69+F129))</f>
        <v>3.4814814814814814</v>
      </c>
    </row>
    <row r="130" spans="1:21" ht="23.25">
      <c r="A130" s="281">
        <f>IF(AND('Классный журнал'!C130="-",'Классный журнал'!D130&lt;=$J$5),-1,IF(AND('Классный журнал'!C130="-",'Классный журнал'!D130&gt;$J$5),"x",IF('Классный журнал'!C130="+",1,0)))</f>
        <v>0</v>
      </c>
      <c r="B130" s="126">
        <f aca="true" t="shared" si="21" ref="B130:B163">IF(E130="","",IF(ROUND($B$125,0)&lt;=F130,"",IF(ROUND($B$125,0)-F130=1,"x","XX")))</f>
      </c>
      <c r="C130" s="80">
        <f aca="true" t="shared" si="22" ref="C130:C163">IF(E130="","",IF(H130&lt;2.5,"!",""))</f>
      </c>
      <c r="D130" s="22">
        <v>2</v>
      </c>
      <c r="E130" s="50" t="str">
        <f>IF('Классный журнал'!E130="","",IF(OR(A130=-1,A130="x"),"",IF(A130=1,'Классный журнал'!E130,'Классный журнал'!E130)))</f>
        <v>Богоутдинов Данил</v>
      </c>
      <c r="F130" s="19">
        <f aca="true" t="shared" si="23" ref="F130:F163">IF(E130="",0,SUM(K130:O130))</f>
        <v>12</v>
      </c>
      <c r="G130" s="19">
        <f aca="true" t="shared" si="24" ref="G130:G163">IF(E130="",0,SUM(K130*5,L130*4,M130*3,N130*2,O130))</f>
        <v>42</v>
      </c>
      <c r="H130" s="23">
        <f aca="true" t="shared" si="25" ref="H130:H163">IF(E130="","",G130/F130)</f>
        <v>3.5</v>
      </c>
      <c r="I130" s="24">
        <f aca="true" t="shared" si="26" ref="I130:I163">IF(E130="","",RANK(H130,$H$129:$H$163,0))</f>
        <v>9</v>
      </c>
      <c r="J130" s="24">
        <f aca="true" t="shared" si="27" ref="J130:J163">IF(E130="","",RANK(U130,$U$129:$U$163,0))</f>
        <v>12</v>
      </c>
      <c r="K130" s="19">
        <f>IF(E130="","",COUNTIF('Классный журнал'!F130:IV130,5))</f>
        <v>0</v>
      </c>
      <c r="L130" s="19">
        <f>IF(E130="","",COUNTIF('Классный журнал'!F130:IV130,4))</f>
        <v>7</v>
      </c>
      <c r="M130" s="19">
        <f>IF(E130="","",COUNTIF('Классный журнал'!F130:IV130,3))</f>
        <v>4</v>
      </c>
      <c r="N130" s="19">
        <f>IF(E130="","",COUNTIF('Классный журнал'!F130:IV130,2))</f>
        <v>1</v>
      </c>
      <c r="O130" s="19">
        <f>IF(E130="","",COUNTIF('Классный журнал'!F130:IV130,1))</f>
        <v>0</v>
      </c>
      <c r="P130" s="19">
        <f>IF(E130="",0,COUNTIF('Классный журнал'!F130:IV130,"н/б"))</f>
        <v>1</v>
      </c>
      <c r="Q130" s="19">
        <f>IF(E130="",0,COUNTIF('Классный журнал'!F130:IV130,"н/у"))</f>
        <v>1</v>
      </c>
      <c r="R130" s="19">
        <f>IF(E130="",0,COUNTIF('Классный журнал'!F130:IV130,"н"))</f>
        <v>2</v>
      </c>
      <c r="S130" s="19">
        <f aca="true" t="shared" si="28" ref="S130:S163">IF(E130="","",SUM(P130:R130))</f>
        <v>4</v>
      </c>
      <c r="T130" s="49">
        <f aca="true" t="shared" si="29" ref="T130:T163">IF(E130="","",IF(F130&lt;($O$126*3),"н/а",IF(H130&gt;=4.8,5,IF(AND(3.7&lt;=H130,H130&lt;4.8),4,IF(AND(2.5&lt;=H130,H130&lt;3.7),3,IF(H130=0,"--",2))))))</f>
        <v>3</v>
      </c>
      <c r="U130" s="41">
        <f aca="true" t="shared" si="30" ref="U130:U163">IF(E130="","",(G10+G70+G130)/(F10+F70+F130))</f>
        <v>3.4074074074074074</v>
      </c>
    </row>
    <row r="131" spans="1:21" ht="23.25">
      <c r="A131" s="281">
        <f>IF(AND('Классный журнал'!C131="-",'Классный журнал'!D131&lt;=$J$5),-1,IF(AND('Классный журнал'!C131="-",'Классный журнал'!D131&gt;$J$5),"x",IF('Классный журнал'!C131="+",1,0)))</f>
        <v>0</v>
      </c>
      <c r="B131" s="126" t="str">
        <f t="shared" si="21"/>
        <v>x</v>
      </c>
      <c r="C131" s="80">
        <f t="shared" si="22"/>
      </c>
      <c r="D131" s="22">
        <v>3</v>
      </c>
      <c r="E131" s="50" t="str">
        <f>IF('Классный журнал'!E131="","",IF(OR(A131=-1,A131="x"),"",IF(A131=1,'Классный журнал'!E131,'Классный журнал'!E131)))</f>
        <v>Бавеян Рафик</v>
      </c>
      <c r="F131" s="19">
        <f t="shared" si="23"/>
        <v>11</v>
      </c>
      <c r="G131" s="19">
        <f t="shared" si="24"/>
        <v>35</v>
      </c>
      <c r="H131" s="23">
        <f t="shared" si="25"/>
        <v>3.1818181818181817</v>
      </c>
      <c r="I131" s="24">
        <f t="shared" si="26"/>
        <v>19</v>
      </c>
      <c r="J131" s="24">
        <f t="shared" si="27"/>
        <v>17</v>
      </c>
      <c r="K131" s="19">
        <f>IF(E131="","",COUNTIF('Классный журнал'!F131:IV131,5))</f>
        <v>0</v>
      </c>
      <c r="L131" s="19">
        <f>IF(E131="","",COUNTIF('Классный журнал'!F131:IV131,4))</f>
        <v>5</v>
      </c>
      <c r="M131" s="19">
        <f>IF(E131="","",COUNTIF('Классный журнал'!F131:IV131,3))</f>
        <v>4</v>
      </c>
      <c r="N131" s="19">
        <f>IF(E131="","",COUNTIF('Классный журнал'!F131:IV131,2))</f>
        <v>1</v>
      </c>
      <c r="O131" s="19">
        <f>IF(E131="","",COUNTIF('Классный журнал'!F131:IV131,1))</f>
        <v>1</v>
      </c>
      <c r="P131" s="19">
        <f>IF(E131="",0,COUNTIF('Классный журнал'!F131:IV131,"н/б"))</f>
        <v>2</v>
      </c>
      <c r="Q131" s="19">
        <f>IF(E131="",0,COUNTIF('Классный журнал'!F131:IV131,"н/у"))</f>
        <v>0</v>
      </c>
      <c r="R131" s="19">
        <f>IF(E131="",0,COUNTIF('Классный журнал'!F131:IV131,"н"))</f>
        <v>2</v>
      </c>
      <c r="S131" s="19">
        <f t="shared" si="28"/>
        <v>4</v>
      </c>
      <c r="T131" s="49">
        <f t="shared" si="29"/>
        <v>3</v>
      </c>
      <c r="U131" s="41">
        <f t="shared" si="30"/>
        <v>3.04</v>
      </c>
    </row>
    <row r="132" spans="1:21" ht="23.25">
      <c r="A132" s="281">
        <f>IF(AND('Классный журнал'!C132="-",'Классный журнал'!D132&lt;=$J$5),-1,IF(AND('Классный журнал'!C132="-",'Классный журнал'!D132&gt;$J$5),"x",IF('Классный журнал'!C132="+",1,0)))</f>
        <v>0</v>
      </c>
      <c r="B132" s="126">
        <f t="shared" si="21"/>
      </c>
      <c r="C132" s="80">
        <f t="shared" si="22"/>
      </c>
      <c r="D132" s="22">
        <v>4</v>
      </c>
      <c r="E132" s="50" t="str">
        <f>IF('Классный журнал'!E132="","",IF(OR(A132=-1,A132="x"),"",IF(A132=1,'Классный журнал'!E132,'Классный журнал'!E132)))</f>
        <v>Бахметьев Михаил</v>
      </c>
      <c r="F132" s="19">
        <f t="shared" si="23"/>
        <v>14</v>
      </c>
      <c r="G132" s="19">
        <f t="shared" si="24"/>
        <v>47</v>
      </c>
      <c r="H132" s="23">
        <f t="shared" si="25"/>
        <v>3.357142857142857</v>
      </c>
      <c r="I132" s="24">
        <f t="shared" si="26"/>
        <v>13</v>
      </c>
      <c r="J132" s="24">
        <f t="shared" si="27"/>
        <v>13</v>
      </c>
      <c r="K132" s="19">
        <f>IF(E132="","",COUNTIF('Классный журнал'!F132:IV132,5))</f>
        <v>1</v>
      </c>
      <c r="L132" s="19">
        <f>IF(E132="","",COUNTIF('Классный журнал'!F132:IV132,4))</f>
        <v>5</v>
      </c>
      <c r="M132" s="19">
        <f>IF(E132="","",COUNTIF('Классный журнал'!F132:IV132,3))</f>
        <v>6</v>
      </c>
      <c r="N132" s="19">
        <f>IF(E132="","",COUNTIF('Классный журнал'!F132:IV132,2))</f>
        <v>2</v>
      </c>
      <c r="O132" s="19">
        <f>IF(E132="","",COUNTIF('Классный журнал'!F132:IV132,1))</f>
        <v>0</v>
      </c>
      <c r="P132" s="19">
        <f>IF(E132="",0,COUNTIF('Классный журнал'!F132:IV132,"н/б"))</f>
        <v>0</v>
      </c>
      <c r="Q132" s="19">
        <f>IF(E132="",0,COUNTIF('Классный журнал'!F132:IV132,"н/у"))</f>
        <v>0</v>
      </c>
      <c r="R132" s="19">
        <f>IF(E132="",0,COUNTIF('Классный журнал'!F132:IV132,"н"))</f>
        <v>1</v>
      </c>
      <c r="S132" s="19">
        <f t="shared" si="28"/>
        <v>1</v>
      </c>
      <c r="T132" s="49">
        <f t="shared" si="29"/>
        <v>3</v>
      </c>
      <c r="U132" s="41">
        <f t="shared" si="30"/>
        <v>3.1875</v>
      </c>
    </row>
    <row r="133" spans="1:21" ht="23.25">
      <c r="A133" s="281">
        <f>IF(AND('Классный журнал'!C133="-",'Классный журнал'!D133&lt;=$J$5),-1,IF(AND('Классный журнал'!C133="-",'Классный журнал'!D133&gt;$J$5),"x",IF('Классный журнал'!C133="+",1,0)))</f>
        <v>-1</v>
      </c>
      <c r="B133" s="126">
        <f t="shared" si="21"/>
      </c>
      <c r="C133" s="80">
        <f t="shared" si="22"/>
      </c>
      <c r="D133" s="22">
        <v>5</v>
      </c>
      <c r="E133" s="50">
        <f>IF('Классный журнал'!E133="","",IF(OR(A133=-1,A133="x"),"",IF(A133=1,'Классный журнал'!E133,'Классный журнал'!E133)))</f>
      </c>
      <c r="F133" s="19">
        <f t="shared" si="23"/>
        <v>0</v>
      </c>
      <c r="G133" s="19">
        <f t="shared" si="24"/>
        <v>0</v>
      </c>
      <c r="H133" s="23">
        <f t="shared" si="25"/>
      </c>
      <c r="I133" s="24">
        <f t="shared" si="26"/>
      </c>
      <c r="J133" s="24">
        <f t="shared" si="27"/>
      </c>
      <c r="K133" s="19">
        <f>IF(E133="","",COUNTIF('Классный журнал'!F133:IV133,5))</f>
      </c>
      <c r="L133" s="19">
        <f>IF(E133="","",COUNTIF('Классный журнал'!F133:IV133,4))</f>
      </c>
      <c r="M133" s="19">
        <f>IF(E133="","",COUNTIF('Классный журнал'!F133:IV133,3))</f>
      </c>
      <c r="N133" s="19">
        <f>IF(E133="","",COUNTIF('Классный журнал'!F133:IV133,2))</f>
      </c>
      <c r="O133" s="19">
        <f>IF(E133="","",COUNTIF('Классный журнал'!F133:IV133,1))</f>
      </c>
      <c r="P133" s="19">
        <f>IF(E133="",0,COUNTIF('Классный журнал'!F133:IV133,"н/б"))</f>
        <v>0</v>
      </c>
      <c r="Q133" s="19">
        <f>IF(E133="",0,COUNTIF('Классный журнал'!F133:IV133,"н/у"))</f>
        <v>0</v>
      </c>
      <c r="R133" s="19">
        <f>IF(E133="",0,COUNTIF('Классный журнал'!F133:IV133,"н"))</f>
        <v>0</v>
      </c>
      <c r="S133" s="19">
        <f t="shared" si="28"/>
      </c>
      <c r="T133" s="49">
        <f t="shared" si="29"/>
      </c>
      <c r="U133" s="41">
        <f t="shared" si="30"/>
      </c>
    </row>
    <row r="134" spans="1:21" ht="23.25">
      <c r="A134" s="281">
        <f>IF(AND('Классный журнал'!C134="-",'Классный журнал'!D134&lt;=$J$5),-1,IF(AND('Классный журнал'!C134="-",'Классный журнал'!D134&gt;$J$5),"x",IF('Классный журнал'!C134="+",1,0)))</f>
        <v>0</v>
      </c>
      <c r="B134" s="126" t="str">
        <f t="shared" si="21"/>
        <v>x</v>
      </c>
      <c r="C134" s="80">
        <f t="shared" si="22"/>
      </c>
      <c r="D134" s="22">
        <v>6</v>
      </c>
      <c r="E134" s="50" t="str">
        <f>IF('Классный журнал'!E134="","",IF(OR(A134=-1,A134="x"),"",IF(A134=1,'Классный журнал'!E134,'Классный журнал'!E134)))</f>
        <v>Валеев Руслан</v>
      </c>
      <c r="F134" s="19">
        <f t="shared" si="23"/>
        <v>11</v>
      </c>
      <c r="G134" s="19">
        <f t="shared" si="24"/>
        <v>37</v>
      </c>
      <c r="H134" s="23">
        <f t="shared" si="25"/>
        <v>3.3636363636363638</v>
      </c>
      <c r="I134" s="24">
        <f t="shared" si="26"/>
        <v>12</v>
      </c>
      <c r="J134" s="24">
        <f t="shared" si="27"/>
        <v>11</v>
      </c>
      <c r="K134" s="19">
        <f>IF(E134="","",COUNTIF('Классный журнал'!F134:IV134,5))</f>
        <v>1</v>
      </c>
      <c r="L134" s="19">
        <f>IF(E134="","",COUNTIF('Классный журнал'!F134:IV134,4))</f>
        <v>3</v>
      </c>
      <c r="M134" s="19">
        <f>IF(E134="","",COUNTIF('Классный журнал'!F134:IV134,3))</f>
        <v>6</v>
      </c>
      <c r="N134" s="19">
        <f>IF(E134="","",COUNTIF('Классный журнал'!F134:IV134,2))</f>
        <v>1</v>
      </c>
      <c r="O134" s="19">
        <f>IF(E134="","",COUNTIF('Классный журнал'!F134:IV134,1))</f>
        <v>0</v>
      </c>
      <c r="P134" s="19">
        <f>IF(E134="",0,COUNTIF('Классный журнал'!F134:IV134,"н/б"))</f>
        <v>0</v>
      </c>
      <c r="Q134" s="19">
        <f>IF(E134="",0,COUNTIF('Классный журнал'!F134:IV134,"н/у"))</f>
        <v>0</v>
      </c>
      <c r="R134" s="19">
        <f>IF(E134="",0,COUNTIF('Классный журнал'!F134:IV134,"н"))</f>
        <v>3</v>
      </c>
      <c r="S134" s="19">
        <f t="shared" si="28"/>
        <v>3</v>
      </c>
      <c r="T134" s="49">
        <f t="shared" si="29"/>
        <v>3</v>
      </c>
      <c r="U134" s="41">
        <f t="shared" si="30"/>
        <v>3.4285714285714284</v>
      </c>
    </row>
    <row r="135" spans="1:21" ht="23.25">
      <c r="A135" s="281">
        <f>IF(AND('Классный журнал'!C135="-",'Классный журнал'!D135&lt;=$J$5),-1,IF(AND('Классный журнал'!C135="-",'Классный журнал'!D135&gt;$J$5),"x",IF('Классный журнал'!C135="+",1,0)))</f>
        <v>0</v>
      </c>
      <c r="B135" s="126">
        <f t="shared" si="21"/>
      </c>
      <c r="C135" s="80">
        <f t="shared" si="22"/>
      </c>
      <c r="D135" s="22">
        <v>7</v>
      </c>
      <c r="E135" s="50" t="str">
        <f>IF('Классный журнал'!E135="","",IF(OR(A135=-1,A135="x"),"",IF(A135=1,'Классный журнал'!E135,'Классный журнал'!E135)))</f>
        <v>Власов Владимир</v>
      </c>
      <c r="F135" s="19">
        <f t="shared" si="23"/>
        <v>12</v>
      </c>
      <c r="G135" s="19">
        <f t="shared" si="24"/>
        <v>33</v>
      </c>
      <c r="H135" s="23">
        <f t="shared" si="25"/>
        <v>2.75</v>
      </c>
      <c r="I135" s="24">
        <f t="shared" si="26"/>
        <v>27</v>
      </c>
      <c r="J135" s="24">
        <f t="shared" si="27"/>
        <v>24</v>
      </c>
      <c r="K135" s="19">
        <f>IF(E135="","",COUNTIF('Классный журнал'!F135:IV135,5))</f>
        <v>1</v>
      </c>
      <c r="L135" s="19">
        <f>IF(E135="","",COUNTIF('Классный журнал'!F135:IV135,4))</f>
        <v>0</v>
      </c>
      <c r="M135" s="19">
        <f>IF(E135="","",COUNTIF('Классный журнал'!F135:IV135,3))</f>
        <v>7</v>
      </c>
      <c r="N135" s="19">
        <f>IF(E135="","",COUNTIF('Классный журнал'!F135:IV135,2))</f>
        <v>3</v>
      </c>
      <c r="O135" s="19">
        <f>IF(E135="","",COUNTIF('Классный журнал'!F135:IV135,1))</f>
        <v>1</v>
      </c>
      <c r="P135" s="19">
        <f>IF(E135="",0,COUNTIF('Классный журнал'!F135:IV135,"н/б"))</f>
        <v>0</v>
      </c>
      <c r="Q135" s="19">
        <f>IF(E135="",0,COUNTIF('Классный журнал'!F135:IV135,"н/у"))</f>
        <v>0</v>
      </c>
      <c r="R135" s="19">
        <f>IF(E135="",0,COUNTIF('Классный журнал'!F135:IV135,"н"))</f>
        <v>1</v>
      </c>
      <c r="S135" s="19">
        <f t="shared" si="28"/>
        <v>1</v>
      </c>
      <c r="T135" s="49">
        <f t="shared" si="29"/>
        <v>3</v>
      </c>
      <c r="U135" s="41">
        <f t="shared" si="30"/>
        <v>2.6785714285714284</v>
      </c>
    </row>
    <row r="136" spans="1:21" ht="23.25">
      <c r="A136" s="281">
        <f>IF(AND('Классный журнал'!C136="-",'Классный журнал'!D136&lt;=$J$5),-1,IF(AND('Классный журнал'!C136="-",'Классный журнал'!D136&gt;$J$5),"x",IF('Классный журнал'!C136="+",1,0)))</f>
        <v>0</v>
      </c>
      <c r="B136" s="126">
        <f t="shared" si="21"/>
      </c>
      <c r="C136" s="80">
        <f t="shared" si="22"/>
      </c>
      <c r="D136" s="22">
        <v>8</v>
      </c>
      <c r="E136" s="50" t="str">
        <f>IF('Классный журнал'!E136="","",IF(OR(A136=-1,A136="x"),"",IF(A136=1,'Классный журнал'!E136,'Классный журнал'!E136)))</f>
        <v>Головина Дарья</v>
      </c>
      <c r="F136" s="19">
        <f t="shared" si="23"/>
        <v>12</v>
      </c>
      <c r="G136" s="19">
        <f t="shared" si="24"/>
        <v>45</v>
      </c>
      <c r="H136" s="23">
        <f t="shared" si="25"/>
        <v>3.75</v>
      </c>
      <c r="I136" s="24">
        <f t="shared" si="26"/>
        <v>4</v>
      </c>
      <c r="J136" s="24">
        <f t="shared" si="27"/>
        <v>4</v>
      </c>
      <c r="K136" s="19">
        <f>IF(E136="","",COUNTIF('Классный журнал'!F136:IV136,5))</f>
        <v>2</v>
      </c>
      <c r="L136" s="19">
        <f>IF(E136="","",COUNTIF('Классный журнал'!F136:IV136,4))</f>
        <v>6</v>
      </c>
      <c r="M136" s="19">
        <f>IF(E136="","",COUNTIF('Классный журнал'!F136:IV136,3))</f>
        <v>3</v>
      </c>
      <c r="N136" s="19">
        <f>IF(E136="","",COUNTIF('Классный журнал'!F136:IV136,2))</f>
        <v>1</v>
      </c>
      <c r="O136" s="19">
        <f>IF(E136="","",COUNTIF('Классный журнал'!F136:IV136,1))</f>
        <v>0</v>
      </c>
      <c r="P136" s="19">
        <f>IF(E136="",0,COUNTIF('Классный журнал'!F136:IV136,"н/б"))</f>
        <v>0</v>
      </c>
      <c r="Q136" s="19">
        <f>IF(E136="",0,COUNTIF('Классный журнал'!F136:IV136,"н/у"))</f>
        <v>0</v>
      </c>
      <c r="R136" s="19">
        <f>IF(E136="",0,COUNTIF('Классный журнал'!F136:IV136,"н"))</f>
        <v>0</v>
      </c>
      <c r="S136" s="19">
        <f t="shared" si="28"/>
        <v>0</v>
      </c>
      <c r="T136" s="49">
        <f t="shared" si="29"/>
        <v>4</v>
      </c>
      <c r="U136" s="41">
        <f t="shared" si="30"/>
        <v>3.8846153846153846</v>
      </c>
    </row>
    <row r="137" spans="1:21" ht="23.25">
      <c r="A137" s="281">
        <f>IF(AND('Классный журнал'!C137="-",'Классный журнал'!D137&lt;=$J$5),-1,IF(AND('Классный журнал'!C137="-",'Классный журнал'!D137&gt;$J$5),"x",IF('Классный журнал'!C137="+",1,0)))</f>
        <v>-1</v>
      </c>
      <c r="B137" s="126">
        <f t="shared" si="21"/>
      </c>
      <c r="C137" s="80">
        <f t="shared" si="22"/>
      </c>
      <c r="D137" s="22">
        <v>9</v>
      </c>
      <c r="E137" s="50">
        <f>IF('Классный журнал'!E137="","",IF(OR(A137=-1,A137="x"),"",IF(A137=1,'Классный журнал'!E137,'Классный журнал'!E137)))</f>
      </c>
      <c r="F137" s="19">
        <f t="shared" si="23"/>
        <v>0</v>
      </c>
      <c r="G137" s="19">
        <f t="shared" si="24"/>
        <v>0</v>
      </c>
      <c r="H137" s="23">
        <f t="shared" si="25"/>
      </c>
      <c r="I137" s="24">
        <f t="shared" si="26"/>
      </c>
      <c r="J137" s="24">
        <f t="shared" si="27"/>
      </c>
      <c r="K137" s="19">
        <f>IF(E137="","",COUNTIF('Классный журнал'!F137:IV137,5))</f>
      </c>
      <c r="L137" s="19">
        <f>IF(E137="","",COUNTIF('Классный журнал'!F137:IV137,4))</f>
      </c>
      <c r="M137" s="19">
        <f>IF(E137="","",COUNTIF('Классный журнал'!F137:IV137,3))</f>
      </c>
      <c r="N137" s="19">
        <f>IF(E137="","",COUNTIF('Классный журнал'!F137:IV137,2))</f>
      </c>
      <c r="O137" s="19">
        <f>IF(E137="","",COUNTIF('Классный журнал'!F137:IV137,1))</f>
      </c>
      <c r="P137" s="19">
        <f>IF(E137="",0,COUNTIF('Классный журнал'!F137:IV137,"н/б"))</f>
        <v>0</v>
      </c>
      <c r="Q137" s="19">
        <f>IF(E137="",0,COUNTIF('Классный журнал'!F137:IV137,"н/у"))</f>
        <v>0</v>
      </c>
      <c r="R137" s="19">
        <f>IF(E137="",0,COUNTIF('Классный журнал'!F137:IV137,"н"))</f>
        <v>0</v>
      </c>
      <c r="S137" s="19">
        <f t="shared" si="28"/>
      </c>
      <c r="T137" s="49">
        <f t="shared" si="29"/>
      </c>
      <c r="U137" s="41">
        <f t="shared" si="30"/>
      </c>
    </row>
    <row r="138" spans="1:21" ht="23.25">
      <c r="A138" s="281">
        <f>IF(AND('Классный журнал'!C138="-",'Классный журнал'!D138&lt;=$J$5),-1,IF(AND('Классный журнал'!C138="-",'Классный журнал'!D138&gt;$J$5),"x",IF('Классный журнал'!C138="+",1,0)))</f>
        <v>0</v>
      </c>
      <c r="B138" s="126">
        <f t="shared" si="21"/>
      </c>
      <c r="C138" s="80">
        <f t="shared" si="22"/>
      </c>
      <c r="D138" s="22">
        <v>10</v>
      </c>
      <c r="E138" s="50" t="str">
        <f>IF('Классный журнал'!E138="","",IF(OR(A138=-1,A138="x"),"",IF(A138=1,'Классный журнал'!E138,'Классный журнал'!E138)))</f>
        <v>Добрынин Павел</v>
      </c>
      <c r="F138" s="19">
        <f t="shared" si="23"/>
        <v>12</v>
      </c>
      <c r="G138" s="19">
        <f t="shared" si="24"/>
        <v>41</v>
      </c>
      <c r="H138" s="23">
        <f t="shared" si="25"/>
        <v>3.4166666666666665</v>
      </c>
      <c r="I138" s="24">
        <f t="shared" si="26"/>
        <v>10</v>
      </c>
      <c r="J138" s="24">
        <f t="shared" si="27"/>
        <v>7</v>
      </c>
      <c r="K138" s="19">
        <f>IF(E138="","",COUNTIF('Классный журнал'!F138:IV138,5))</f>
        <v>1</v>
      </c>
      <c r="L138" s="19">
        <f>IF(E138="","",COUNTIF('Классный журнал'!F138:IV138,4))</f>
        <v>4</v>
      </c>
      <c r="M138" s="19">
        <f>IF(E138="","",COUNTIF('Классный журнал'!F138:IV138,3))</f>
        <v>6</v>
      </c>
      <c r="N138" s="19">
        <f>IF(E138="","",COUNTIF('Классный журнал'!F138:IV138,2))</f>
        <v>1</v>
      </c>
      <c r="O138" s="19">
        <f>IF(E138="","",COUNTIF('Классный журнал'!F138:IV138,1))</f>
        <v>0</v>
      </c>
      <c r="P138" s="19">
        <f>IF(E138="",0,COUNTIF('Классный журнал'!F138:IV138,"н/б"))</f>
        <v>0</v>
      </c>
      <c r="Q138" s="19">
        <f>IF(E138="",0,COUNTIF('Классный журнал'!F138:IV138,"н/у"))</f>
        <v>0</v>
      </c>
      <c r="R138" s="19">
        <f>IF(E138="",0,COUNTIF('Классный журнал'!F138:IV138,"н"))</f>
        <v>0</v>
      </c>
      <c r="S138" s="19">
        <f t="shared" si="28"/>
        <v>0</v>
      </c>
      <c r="T138" s="49">
        <f t="shared" si="29"/>
        <v>3</v>
      </c>
      <c r="U138" s="41">
        <f t="shared" si="30"/>
        <v>3.6551724137931036</v>
      </c>
    </row>
    <row r="139" spans="1:21" ht="23.25">
      <c r="A139" s="281">
        <f>IF(AND('Классный журнал'!C139="-",'Классный журнал'!D139&lt;=$J$5),-1,IF(AND('Классный журнал'!C139="-",'Классный журнал'!D139&gt;$J$5),"x",IF('Классный журнал'!C139="+",1,0)))</f>
        <v>0</v>
      </c>
      <c r="B139" s="126">
        <f t="shared" si="21"/>
      </c>
      <c r="C139" s="80">
        <f t="shared" si="22"/>
      </c>
      <c r="D139" s="22">
        <v>11</v>
      </c>
      <c r="E139" s="50" t="str">
        <f>IF('Классный журнал'!E139="","",IF(OR(A139=-1,A139="x"),"",IF(A139=1,'Классный журнал'!E139,'Классный журнал'!E139)))</f>
        <v>Жарков Егор</v>
      </c>
      <c r="F139" s="19">
        <f t="shared" si="23"/>
        <v>14</v>
      </c>
      <c r="G139" s="19">
        <f t="shared" si="24"/>
        <v>50</v>
      </c>
      <c r="H139" s="23">
        <f t="shared" si="25"/>
        <v>3.5714285714285716</v>
      </c>
      <c r="I139" s="24">
        <f t="shared" si="26"/>
        <v>7</v>
      </c>
      <c r="J139" s="24">
        <f t="shared" si="27"/>
        <v>9</v>
      </c>
      <c r="K139" s="19">
        <f>IF(E139="","",COUNTIF('Классный журнал'!F139:IV139,5))</f>
        <v>0</v>
      </c>
      <c r="L139" s="19">
        <f>IF(E139="","",COUNTIF('Классный журнал'!F139:IV139,4))</f>
        <v>8</v>
      </c>
      <c r="M139" s="19">
        <f>IF(E139="","",COUNTIF('Классный журнал'!F139:IV139,3))</f>
        <v>6</v>
      </c>
      <c r="N139" s="19">
        <f>IF(E139="","",COUNTIF('Классный журнал'!F139:IV139,2))</f>
        <v>0</v>
      </c>
      <c r="O139" s="19">
        <f>IF(E139="","",COUNTIF('Классный журнал'!F139:IV139,1))</f>
        <v>0</v>
      </c>
      <c r="P139" s="19">
        <f>IF(E139="",0,COUNTIF('Классный журнал'!F139:IV139,"н/б"))</f>
        <v>0</v>
      </c>
      <c r="Q139" s="19">
        <f>IF(E139="",0,COUNTIF('Классный журнал'!F139:IV139,"н/у"))</f>
        <v>0</v>
      </c>
      <c r="R139" s="19">
        <f>IF(E139="",0,COUNTIF('Классный журнал'!F139:IV139,"н"))</f>
        <v>1</v>
      </c>
      <c r="S139" s="19">
        <f t="shared" si="28"/>
        <v>1</v>
      </c>
      <c r="T139" s="49">
        <f t="shared" si="29"/>
        <v>3</v>
      </c>
      <c r="U139" s="41">
        <f t="shared" si="30"/>
        <v>3.533333333333333</v>
      </c>
    </row>
    <row r="140" spans="1:21" ht="23.25">
      <c r="A140" s="281">
        <f>IF(AND('Классный журнал'!C140="-",'Классный журнал'!D140&lt;=$J$5),-1,IF(AND('Классный журнал'!C140="-",'Классный журнал'!D140&gt;$J$5),"x",IF('Классный журнал'!C140="+",1,0)))</f>
        <v>0</v>
      </c>
      <c r="B140" s="126">
        <f t="shared" si="21"/>
      </c>
      <c r="C140" s="80">
        <f t="shared" si="22"/>
      </c>
      <c r="D140" s="22">
        <v>12</v>
      </c>
      <c r="E140" s="50" t="str">
        <f>IF('Классный журнал'!E140="","",IF(OR(A140=-1,A140="x"),"",IF(A140=1,'Классный журнал'!E140,'Классный журнал'!E140)))</f>
        <v>Заева Владлена</v>
      </c>
      <c r="F140" s="19">
        <f t="shared" si="23"/>
        <v>13</v>
      </c>
      <c r="G140" s="19">
        <f t="shared" si="24"/>
        <v>46</v>
      </c>
      <c r="H140" s="23">
        <f t="shared" si="25"/>
        <v>3.5384615384615383</v>
      </c>
      <c r="I140" s="24">
        <f t="shared" si="26"/>
        <v>8</v>
      </c>
      <c r="J140" s="24">
        <f t="shared" si="27"/>
        <v>8</v>
      </c>
      <c r="K140" s="19">
        <f>IF(E140="","",COUNTIF('Классный журнал'!F140:IV140,5))</f>
        <v>2</v>
      </c>
      <c r="L140" s="19">
        <f>IF(E140="","",COUNTIF('Классный журнал'!F140:IV140,4))</f>
        <v>5</v>
      </c>
      <c r="M140" s="19">
        <f>IF(E140="","",COUNTIF('Классный журнал'!F140:IV140,3))</f>
        <v>4</v>
      </c>
      <c r="N140" s="19">
        <f>IF(E140="","",COUNTIF('Классный журнал'!F140:IV140,2))</f>
        <v>2</v>
      </c>
      <c r="O140" s="19">
        <f>IF(E140="","",COUNTIF('Классный журнал'!F140:IV140,1))</f>
        <v>0</v>
      </c>
      <c r="P140" s="19">
        <f>IF(E140="",0,COUNTIF('Классный журнал'!F140:IV140,"н/б"))</f>
        <v>0</v>
      </c>
      <c r="Q140" s="19">
        <f>IF(E140="",0,COUNTIF('Классный журнал'!F140:IV140,"н/у"))</f>
        <v>0</v>
      </c>
      <c r="R140" s="19">
        <f>IF(E140="",0,COUNTIF('Классный журнал'!F140:IV140,"н"))</f>
        <v>0</v>
      </c>
      <c r="S140" s="19">
        <f t="shared" si="28"/>
        <v>0</v>
      </c>
      <c r="T140" s="49">
        <f t="shared" si="29"/>
        <v>3</v>
      </c>
      <c r="U140" s="41">
        <f t="shared" si="30"/>
        <v>3.607142857142857</v>
      </c>
    </row>
    <row r="141" spans="1:21" ht="23.25">
      <c r="A141" s="281">
        <f>IF(AND('Классный журнал'!C141="-",'Классный журнал'!D141&lt;=$J$5),-1,IF(AND('Классный журнал'!C141="-",'Классный журнал'!D141&gt;$J$5),"x",IF('Классный журнал'!C141="+",1,0)))</f>
        <v>0</v>
      </c>
      <c r="B141" s="126" t="str">
        <f t="shared" si="21"/>
        <v>XX</v>
      </c>
      <c r="C141" s="80">
        <f t="shared" si="22"/>
      </c>
      <c r="D141" s="22">
        <v>13</v>
      </c>
      <c r="E141" s="50" t="str">
        <f>IF('Классный журнал'!E141="","",IF(OR(A141=-1,A141="x"),"",IF(A141=1,'Классный журнал'!E141,'Классный журнал'!E141)))</f>
        <v>Игошева Анастасия</v>
      </c>
      <c r="F141" s="19">
        <f t="shared" si="23"/>
        <v>10</v>
      </c>
      <c r="G141" s="19">
        <f t="shared" si="24"/>
        <v>34</v>
      </c>
      <c r="H141" s="23">
        <f t="shared" si="25"/>
        <v>3.4</v>
      </c>
      <c r="I141" s="24">
        <f t="shared" si="26"/>
        <v>11</v>
      </c>
      <c r="J141" s="24">
        <f t="shared" si="27"/>
        <v>15</v>
      </c>
      <c r="K141" s="19">
        <f>IF(E141="","",COUNTIF('Классный журнал'!F141:IV141,5))</f>
        <v>1</v>
      </c>
      <c r="L141" s="19">
        <f>IF(E141="","",COUNTIF('Классный журнал'!F141:IV141,4))</f>
        <v>3</v>
      </c>
      <c r="M141" s="19">
        <f>IF(E141="","",COUNTIF('Классный журнал'!F141:IV141,3))</f>
        <v>5</v>
      </c>
      <c r="N141" s="19">
        <f>IF(E141="","",COUNTIF('Классный журнал'!F141:IV141,2))</f>
        <v>1</v>
      </c>
      <c r="O141" s="19">
        <f>IF(E141="","",COUNTIF('Классный журнал'!F141:IV141,1))</f>
        <v>0</v>
      </c>
      <c r="P141" s="19">
        <f>IF(E141="",0,COUNTIF('Классный журнал'!F141:IV141,"н/б"))</f>
        <v>4</v>
      </c>
      <c r="Q141" s="19">
        <f>IF(E141="",0,COUNTIF('Классный журнал'!F141:IV141,"н/у"))</f>
        <v>0</v>
      </c>
      <c r="R141" s="19">
        <f>IF(E141="",0,COUNTIF('Классный журнал'!F141:IV141,"н"))</f>
        <v>2</v>
      </c>
      <c r="S141" s="19">
        <f t="shared" si="28"/>
        <v>6</v>
      </c>
      <c r="T141" s="49">
        <f t="shared" si="29"/>
        <v>3</v>
      </c>
      <c r="U141" s="41">
        <f t="shared" si="30"/>
        <v>3.130434782608696</v>
      </c>
    </row>
    <row r="142" spans="1:21" ht="23.25">
      <c r="A142" s="281">
        <f>IF(AND('Классный журнал'!C142="-",'Классный журнал'!D142&lt;=$J$5),-1,IF(AND('Классный журнал'!C142="-",'Классный журнал'!D142&gt;$J$5),"x",IF('Классный журнал'!C142="+",1,0)))</f>
        <v>0</v>
      </c>
      <c r="B142" s="126">
        <f t="shared" si="21"/>
      </c>
      <c r="C142" s="80">
        <f t="shared" si="22"/>
      </c>
      <c r="D142" s="22">
        <v>14</v>
      </c>
      <c r="E142" s="50" t="str">
        <f>IF('Классный журнал'!E142="","",IF(OR(A142=-1,A142="x"),"",IF(A142=1,'Классный журнал'!E142,'Классный журнал'!E142)))</f>
        <v>Казанцев Андрей</v>
      </c>
      <c r="F142" s="19">
        <f t="shared" si="23"/>
        <v>13</v>
      </c>
      <c r="G142" s="19">
        <f t="shared" si="24"/>
        <v>37</v>
      </c>
      <c r="H142" s="23">
        <f t="shared" si="25"/>
        <v>2.8461538461538463</v>
      </c>
      <c r="I142" s="24">
        <f t="shared" si="26"/>
        <v>25</v>
      </c>
      <c r="J142" s="24">
        <f t="shared" si="27"/>
        <v>27</v>
      </c>
      <c r="K142" s="19">
        <f>IF(E142="","",COUNTIF('Классный журнал'!F142:IV142,5))</f>
        <v>2</v>
      </c>
      <c r="L142" s="19">
        <f>IF(E142="","",COUNTIF('Классный журнал'!F142:IV142,4))</f>
        <v>1</v>
      </c>
      <c r="M142" s="19">
        <f>IF(E142="","",COUNTIF('Классный журнал'!F142:IV142,3))</f>
        <v>6</v>
      </c>
      <c r="N142" s="19">
        <f>IF(E142="","",COUNTIF('Классный журнал'!F142:IV142,2))</f>
        <v>1</v>
      </c>
      <c r="O142" s="19">
        <f>IF(E142="","",COUNTIF('Классный журнал'!F142:IV142,1))</f>
        <v>3</v>
      </c>
      <c r="P142" s="19">
        <f>IF(E142="",0,COUNTIF('Классный журнал'!F142:IV142,"н/б"))</f>
        <v>0</v>
      </c>
      <c r="Q142" s="19">
        <f>IF(E142="",0,COUNTIF('Классный журнал'!F142:IV142,"н/у"))</f>
        <v>0</v>
      </c>
      <c r="R142" s="19">
        <f>IF(E142="",0,COUNTIF('Классный журнал'!F142:IV142,"н"))</f>
        <v>0</v>
      </c>
      <c r="S142" s="19">
        <f t="shared" si="28"/>
        <v>0</v>
      </c>
      <c r="T142" s="49">
        <f t="shared" si="29"/>
        <v>3</v>
      </c>
      <c r="U142" s="41">
        <f t="shared" si="30"/>
        <v>2.5384615384615383</v>
      </c>
    </row>
    <row r="143" spans="1:21" ht="23.25">
      <c r="A143" s="281">
        <f>IF(AND('Классный журнал'!C143="-",'Классный журнал'!D143&lt;=$J$5),-1,IF(AND('Классный журнал'!C143="-",'Классный журнал'!D143&gt;$J$5),"x",IF('Классный журнал'!C143="+",1,0)))</f>
        <v>0</v>
      </c>
      <c r="B143" s="126">
        <f t="shared" si="21"/>
      </c>
      <c r="C143" s="80">
        <f t="shared" si="22"/>
      </c>
      <c r="D143" s="22">
        <v>15</v>
      </c>
      <c r="E143" s="50" t="str">
        <f>IF('Классный журнал'!E143="","",IF(OR(A143=-1,A143="x"),"",IF(A143=1,'Классный журнал'!E143,'Классный журнал'!E143)))</f>
        <v>Кравченко Кристина</v>
      </c>
      <c r="F143" s="19">
        <f t="shared" si="23"/>
        <v>13</v>
      </c>
      <c r="G143" s="19">
        <f t="shared" si="24"/>
        <v>59</v>
      </c>
      <c r="H143" s="23">
        <f t="shared" si="25"/>
        <v>4.538461538461538</v>
      </c>
      <c r="I143" s="24">
        <f t="shared" si="26"/>
        <v>1</v>
      </c>
      <c r="J143" s="24">
        <f t="shared" si="27"/>
        <v>1</v>
      </c>
      <c r="K143" s="19">
        <f>IF(E143="","",COUNTIF('Классный журнал'!F143:IV143,5))</f>
        <v>9</v>
      </c>
      <c r="L143" s="19">
        <f>IF(E143="","",COUNTIF('Классный журнал'!F143:IV143,4))</f>
        <v>2</v>
      </c>
      <c r="M143" s="19">
        <f>IF(E143="","",COUNTIF('Классный журнал'!F143:IV143,3))</f>
        <v>2</v>
      </c>
      <c r="N143" s="19">
        <f>IF(E143="","",COUNTIF('Классный журнал'!F143:IV143,2))</f>
        <v>0</v>
      </c>
      <c r="O143" s="19">
        <f>IF(E143="","",COUNTIF('Классный журнал'!F143:IV143,1))</f>
        <v>0</v>
      </c>
      <c r="P143" s="19">
        <f>IF(E143="",0,COUNTIF('Классный журнал'!F143:IV143,"н/б"))</f>
        <v>0</v>
      </c>
      <c r="Q143" s="19">
        <f>IF(E143="",0,COUNTIF('Классный журнал'!F143:IV143,"н/у"))</f>
        <v>0</v>
      </c>
      <c r="R143" s="19">
        <f>IF(E143="",0,COUNTIF('Классный журнал'!F143:IV143,"н"))</f>
        <v>1</v>
      </c>
      <c r="S143" s="19">
        <f t="shared" si="28"/>
        <v>1</v>
      </c>
      <c r="T143" s="49">
        <f t="shared" si="29"/>
        <v>4</v>
      </c>
      <c r="U143" s="41">
        <f t="shared" si="30"/>
        <v>4.766666666666667</v>
      </c>
    </row>
    <row r="144" spans="1:21" ht="23.25">
      <c r="A144" s="281">
        <f>IF(AND('Классный журнал'!C144="-",'Классный журнал'!D144&lt;=$J$5),-1,IF(AND('Классный журнал'!C144="-",'Классный журнал'!D144&gt;$J$5),"x",IF('Классный журнал'!C144="+",1,0)))</f>
        <v>0</v>
      </c>
      <c r="B144" s="126" t="str">
        <f t="shared" si="21"/>
        <v>XX</v>
      </c>
      <c r="C144" s="80">
        <f t="shared" si="22"/>
      </c>
      <c r="D144" s="22">
        <v>16</v>
      </c>
      <c r="E144" s="50" t="str">
        <f>IF('Классный журнал'!E144="","",IF(OR(A144=-1,A144="x"),"",IF(A144=1,'Классный журнал'!E144,'Классный журнал'!E144)))</f>
        <v>Кротков Александр</v>
      </c>
      <c r="F144" s="19">
        <f t="shared" si="23"/>
        <v>10</v>
      </c>
      <c r="G144" s="19">
        <f t="shared" si="24"/>
        <v>32</v>
      </c>
      <c r="H144" s="23">
        <f t="shared" si="25"/>
        <v>3.2</v>
      </c>
      <c r="I144" s="24">
        <f t="shared" si="26"/>
        <v>18</v>
      </c>
      <c r="J144" s="24">
        <f t="shared" si="27"/>
        <v>18</v>
      </c>
      <c r="K144" s="19">
        <f>IF(E144="","",COUNTIF('Классный журнал'!F144:IV144,5))</f>
        <v>1</v>
      </c>
      <c r="L144" s="19">
        <f>IF(E144="","",COUNTIF('Классный журнал'!F144:IV144,4))</f>
        <v>1</v>
      </c>
      <c r="M144" s="19">
        <f>IF(E144="","",COUNTIF('Классный журнал'!F144:IV144,3))</f>
        <v>7</v>
      </c>
      <c r="N144" s="19">
        <f>IF(E144="","",COUNTIF('Классный журнал'!F144:IV144,2))</f>
        <v>1</v>
      </c>
      <c r="O144" s="19">
        <f>IF(E144="","",COUNTIF('Классный журнал'!F144:IV144,1))</f>
        <v>0</v>
      </c>
      <c r="P144" s="19">
        <f>IF(E144="",0,COUNTIF('Классный журнал'!F144:IV144,"н/б"))</f>
        <v>0</v>
      </c>
      <c r="Q144" s="19">
        <f>IF(E144="",0,COUNTIF('Классный журнал'!F144:IV144,"н/у"))</f>
        <v>2</v>
      </c>
      <c r="R144" s="19">
        <f>IF(E144="",0,COUNTIF('Классный журнал'!F144:IV144,"н"))</f>
        <v>1</v>
      </c>
      <c r="S144" s="19">
        <f t="shared" si="28"/>
        <v>3</v>
      </c>
      <c r="T144" s="49">
        <f t="shared" si="29"/>
        <v>3</v>
      </c>
      <c r="U144" s="41">
        <f t="shared" si="30"/>
        <v>3</v>
      </c>
    </row>
    <row r="145" spans="1:21" ht="23.25">
      <c r="A145" s="281">
        <f>IF(AND('Классный журнал'!C145="-",'Классный журнал'!D145&lt;=$J$5),-1,IF(AND('Классный журнал'!C145="-",'Классный журнал'!D145&gt;$J$5),"x",IF('Классный журнал'!C145="+",1,0)))</f>
        <v>0</v>
      </c>
      <c r="B145" s="126" t="str">
        <f t="shared" si="21"/>
        <v>x</v>
      </c>
      <c r="C145" s="80">
        <f t="shared" si="22"/>
      </c>
      <c r="D145" s="22">
        <v>17</v>
      </c>
      <c r="E145" s="50" t="str">
        <f>IF('Классный журнал'!E145="","",IF(OR(A145=-1,A145="x"),"",IF(A145=1,'Классный журнал'!E145,'Классный журнал'!E145)))</f>
        <v>Кузнецова Екатерина</v>
      </c>
      <c r="F145" s="19">
        <f t="shared" si="23"/>
        <v>11</v>
      </c>
      <c r="G145" s="19">
        <f t="shared" si="24"/>
        <v>45</v>
      </c>
      <c r="H145" s="23">
        <f t="shared" si="25"/>
        <v>4.090909090909091</v>
      </c>
      <c r="I145" s="24">
        <f t="shared" si="26"/>
        <v>3</v>
      </c>
      <c r="J145" s="24">
        <f t="shared" si="27"/>
        <v>2</v>
      </c>
      <c r="K145" s="19">
        <f>IF(E145="","",COUNTIF('Классный журнал'!F145:IV145,5))</f>
        <v>3</v>
      </c>
      <c r="L145" s="19">
        <f>IF(E145="","",COUNTIF('Классный журнал'!F145:IV145,4))</f>
        <v>6</v>
      </c>
      <c r="M145" s="19">
        <f>IF(E145="","",COUNTIF('Классный журнал'!F145:IV145,3))</f>
        <v>2</v>
      </c>
      <c r="N145" s="19">
        <f>IF(E145="","",COUNTIF('Классный журнал'!F145:IV145,2))</f>
        <v>0</v>
      </c>
      <c r="O145" s="19">
        <f>IF(E145="","",COUNTIF('Классный журнал'!F145:IV145,1))</f>
        <v>0</v>
      </c>
      <c r="P145" s="19">
        <f>IF(E145="",0,COUNTIF('Классный журнал'!F145:IV145,"н/б"))</f>
        <v>0</v>
      </c>
      <c r="Q145" s="19">
        <f>IF(E145="",0,COUNTIF('Классный журнал'!F145:IV145,"н/у"))</f>
        <v>0</v>
      </c>
      <c r="R145" s="19">
        <f>IF(E145="",0,COUNTIF('Классный журнал'!F145:IV145,"н"))</f>
        <v>0</v>
      </c>
      <c r="S145" s="19">
        <f t="shared" si="28"/>
        <v>0</v>
      </c>
      <c r="T145" s="49">
        <f t="shared" si="29"/>
        <v>4</v>
      </c>
      <c r="U145" s="41">
        <f t="shared" si="30"/>
        <v>4.04</v>
      </c>
    </row>
    <row r="146" spans="1:21" ht="23.25">
      <c r="A146" s="281">
        <f>IF(AND('Классный журнал'!C146="-",'Классный журнал'!D146&lt;=$J$5),-1,IF(AND('Классный журнал'!C146="-",'Классный журнал'!D146&gt;$J$5),"x",IF('Классный журнал'!C146="+",1,0)))</f>
        <v>0</v>
      </c>
      <c r="B146" s="126">
        <f t="shared" si="21"/>
      </c>
      <c r="C146" s="80">
        <f t="shared" si="22"/>
      </c>
      <c r="D146" s="22">
        <v>18</v>
      </c>
      <c r="E146" s="50" t="str">
        <f>IF('Классный журнал'!E146="","",IF(OR(A146=-1,A146="x"),"",IF(A146=1,'Классный журнал'!E146,'Классный журнал'!E146)))</f>
        <v>Курило Павел</v>
      </c>
      <c r="F146" s="19">
        <f t="shared" si="23"/>
        <v>12</v>
      </c>
      <c r="G146" s="19">
        <f t="shared" si="24"/>
        <v>40</v>
      </c>
      <c r="H146" s="23">
        <f t="shared" si="25"/>
        <v>3.3333333333333335</v>
      </c>
      <c r="I146" s="24">
        <f t="shared" si="26"/>
        <v>14</v>
      </c>
      <c r="J146" s="24">
        <f t="shared" si="27"/>
        <v>19</v>
      </c>
      <c r="K146" s="19">
        <f>IF(E146="","",COUNTIF('Классный журнал'!F146:IV146,5))</f>
        <v>3</v>
      </c>
      <c r="L146" s="19">
        <f>IF(E146="","",COUNTIF('Классный журнал'!F146:IV146,4))</f>
        <v>1</v>
      </c>
      <c r="M146" s="19">
        <f>IF(E146="","",COUNTIF('Классный журнал'!F146:IV146,3))</f>
        <v>5</v>
      </c>
      <c r="N146" s="19">
        <f>IF(E146="","",COUNTIF('Классный журнал'!F146:IV146,2))</f>
        <v>3</v>
      </c>
      <c r="O146" s="19">
        <f>IF(E146="","",COUNTIF('Классный журнал'!F146:IV146,1))</f>
        <v>0</v>
      </c>
      <c r="P146" s="19">
        <f>IF(E146="",0,COUNTIF('Классный журнал'!F146:IV146,"н/б"))</f>
        <v>1</v>
      </c>
      <c r="Q146" s="19">
        <f>IF(E146="",0,COUNTIF('Классный журнал'!F146:IV146,"н/у"))</f>
        <v>0</v>
      </c>
      <c r="R146" s="19">
        <f>IF(E146="",0,COUNTIF('Классный журнал'!F146:IV146,"н"))</f>
        <v>2</v>
      </c>
      <c r="S146" s="19">
        <f t="shared" si="28"/>
        <v>3</v>
      </c>
      <c r="T146" s="49">
        <f t="shared" si="29"/>
        <v>3</v>
      </c>
      <c r="U146" s="41">
        <f t="shared" si="30"/>
        <v>2.92</v>
      </c>
    </row>
    <row r="147" spans="1:21" ht="23.25">
      <c r="A147" s="281">
        <f>IF(AND('Классный журнал'!C147="-",'Классный журнал'!D147&lt;=$J$5),-1,IF(AND('Классный журнал'!C147="-",'Классный журнал'!D147&gt;$J$5),"x",IF('Классный журнал'!C147="+",1,0)))</f>
        <v>0</v>
      </c>
      <c r="B147" s="126" t="str">
        <f t="shared" si="21"/>
        <v>XX</v>
      </c>
      <c r="C147" s="80" t="str">
        <f t="shared" si="22"/>
        <v>!</v>
      </c>
      <c r="D147" s="22">
        <v>19</v>
      </c>
      <c r="E147" s="50" t="str">
        <f>IF('Классный журнал'!E147="","",IF(OR(A147=-1,A147="x"),"",IF(A147=1,'Классный журнал'!E147,'Классный журнал'!E147)))</f>
        <v>Максимкина Татьяна</v>
      </c>
      <c r="F147" s="19">
        <f t="shared" si="23"/>
        <v>10</v>
      </c>
      <c r="G147" s="19">
        <f t="shared" si="24"/>
        <v>23</v>
      </c>
      <c r="H147" s="23">
        <f t="shared" si="25"/>
        <v>2.3</v>
      </c>
      <c r="I147" s="24">
        <f t="shared" si="26"/>
        <v>28</v>
      </c>
      <c r="J147" s="24">
        <f t="shared" si="27"/>
        <v>28</v>
      </c>
      <c r="K147" s="19">
        <f>IF(E147="","",COUNTIF('Классный журнал'!F147:IV147,5))</f>
        <v>0</v>
      </c>
      <c r="L147" s="19">
        <f>IF(E147="","",COUNTIF('Классный журнал'!F147:IV147,4))</f>
        <v>0</v>
      </c>
      <c r="M147" s="19">
        <f>IF(E147="","",COUNTIF('Классный журнал'!F147:IV147,3))</f>
        <v>4</v>
      </c>
      <c r="N147" s="19">
        <f>IF(E147="","",COUNTIF('Классный журнал'!F147:IV147,2))</f>
        <v>5</v>
      </c>
      <c r="O147" s="19">
        <f>IF(E147="","",COUNTIF('Классный журнал'!F147:IV147,1))</f>
        <v>1</v>
      </c>
      <c r="P147" s="19">
        <f>IF(E147="",0,COUNTIF('Классный журнал'!F147:IV147,"н/б"))</f>
        <v>0</v>
      </c>
      <c r="Q147" s="19">
        <f>IF(E147="",0,COUNTIF('Классный журнал'!F147:IV147,"н/у"))</f>
        <v>0</v>
      </c>
      <c r="R147" s="19">
        <f>IF(E147="",0,COUNTIF('Классный журнал'!F147:IV147,"н"))</f>
        <v>3</v>
      </c>
      <c r="S147" s="19">
        <f t="shared" si="28"/>
        <v>3</v>
      </c>
      <c r="T147" s="49">
        <f t="shared" si="29"/>
        <v>2</v>
      </c>
      <c r="U147" s="41">
        <f t="shared" si="30"/>
        <v>2.260869565217391</v>
      </c>
    </row>
    <row r="148" spans="1:21" ht="23.25">
      <c r="A148" s="281">
        <f>IF(AND('Классный журнал'!C148="-",'Классный журнал'!D148&lt;=$J$5),-1,IF(AND('Классный журнал'!C148="-",'Классный журнал'!D148&gt;$J$5),"x",IF('Классный журнал'!C148="+",1,0)))</f>
        <v>0</v>
      </c>
      <c r="B148" s="126">
        <f t="shared" si="21"/>
      </c>
      <c r="C148" s="80">
        <f t="shared" si="22"/>
      </c>
      <c r="D148" s="22">
        <v>20</v>
      </c>
      <c r="E148" s="50" t="str">
        <f>IF('Классный журнал'!E148="","",IF(OR(A148=-1,A148="x"),"",IF(A148=1,'Классный журнал'!E148,'Классный журнал'!E148)))</f>
        <v>Малахова Ксения</v>
      </c>
      <c r="F148" s="19">
        <f t="shared" si="23"/>
        <v>12</v>
      </c>
      <c r="G148" s="19">
        <f t="shared" si="24"/>
        <v>36</v>
      </c>
      <c r="H148" s="23">
        <f t="shared" si="25"/>
        <v>3</v>
      </c>
      <c r="I148" s="24">
        <f t="shared" si="26"/>
        <v>20</v>
      </c>
      <c r="J148" s="24">
        <f t="shared" si="27"/>
        <v>21</v>
      </c>
      <c r="K148" s="19">
        <f>IF(E148="","",COUNTIF('Классный журнал'!F148:IV148,5))</f>
        <v>1</v>
      </c>
      <c r="L148" s="19">
        <f>IF(E148="","",COUNTIF('Классный журнал'!F148:IV148,4))</f>
        <v>1</v>
      </c>
      <c r="M148" s="19">
        <f>IF(E148="","",COUNTIF('Классный журнал'!F148:IV148,3))</f>
        <v>7</v>
      </c>
      <c r="N148" s="19">
        <f>IF(E148="","",COUNTIF('Классный журнал'!F148:IV148,2))</f>
        <v>3</v>
      </c>
      <c r="O148" s="19">
        <f>IF(E148="","",COUNTIF('Классный журнал'!F148:IV148,1))</f>
        <v>0</v>
      </c>
      <c r="P148" s="19">
        <f>IF(E148="",0,COUNTIF('Классный журнал'!F148:IV148,"н/б"))</f>
        <v>1</v>
      </c>
      <c r="Q148" s="19">
        <f>IF(E148="",0,COUNTIF('Классный журнал'!F148:IV148,"н/у"))</f>
        <v>0</v>
      </c>
      <c r="R148" s="19">
        <f>IF(E148="",0,COUNTIF('Классный журнал'!F148:IV148,"н"))</f>
        <v>1</v>
      </c>
      <c r="S148" s="19">
        <f t="shared" si="28"/>
        <v>2</v>
      </c>
      <c r="T148" s="49">
        <f t="shared" si="29"/>
        <v>3</v>
      </c>
      <c r="U148" s="41">
        <f t="shared" si="30"/>
        <v>2.8846153846153846</v>
      </c>
    </row>
    <row r="149" spans="1:21" ht="23.25">
      <c r="A149" s="281">
        <f>IF(AND('Классный журнал'!C149="-",'Классный журнал'!D149&lt;=$J$5),-1,IF(AND('Классный журнал'!C149="-",'Классный журнал'!D149&gt;$J$5),"x",IF('Классный журнал'!C149="+",1,0)))</f>
        <v>0</v>
      </c>
      <c r="B149" s="126">
        <f t="shared" si="21"/>
      </c>
      <c r="C149" s="80">
        <f t="shared" si="22"/>
      </c>
      <c r="D149" s="22">
        <v>21</v>
      </c>
      <c r="E149" s="50" t="str">
        <f>IF('Классный журнал'!E149="","",IF(OR(A149=-1,A149="x"),"",IF(A149=1,'Классный журнал'!E149,'Классный журнал'!E149)))</f>
        <v>Марсуверских Михаил</v>
      </c>
      <c r="F149" s="19">
        <f t="shared" si="23"/>
        <v>14</v>
      </c>
      <c r="G149" s="19">
        <f t="shared" si="24"/>
        <v>39</v>
      </c>
      <c r="H149" s="23">
        <f t="shared" si="25"/>
        <v>2.7857142857142856</v>
      </c>
      <c r="I149" s="24">
        <f t="shared" si="26"/>
        <v>26</v>
      </c>
      <c r="J149" s="24">
        <f t="shared" si="27"/>
        <v>26</v>
      </c>
      <c r="K149" s="19">
        <f>IF(E149="","",COUNTIF('Классный журнал'!F149:IV149,5))</f>
        <v>0</v>
      </c>
      <c r="L149" s="19">
        <f>IF(E149="","",COUNTIF('Классный журнал'!F149:IV149,4))</f>
        <v>2</v>
      </c>
      <c r="M149" s="19">
        <f>IF(E149="","",COUNTIF('Классный журнал'!F149:IV149,3))</f>
        <v>8</v>
      </c>
      <c r="N149" s="19">
        <f>IF(E149="","",COUNTIF('Классный журнал'!F149:IV149,2))</f>
        <v>3</v>
      </c>
      <c r="O149" s="19">
        <f>IF(E149="","",COUNTIF('Классный журнал'!F149:IV149,1))</f>
        <v>1</v>
      </c>
      <c r="P149" s="19">
        <f>IF(E149="",0,COUNTIF('Классный журнал'!F149:IV149,"н/б"))</f>
        <v>0</v>
      </c>
      <c r="Q149" s="19">
        <f>IF(E149="",0,COUNTIF('Классный журнал'!F149:IV149,"н/у"))</f>
        <v>0</v>
      </c>
      <c r="R149" s="19">
        <f>IF(E149="",0,COUNTIF('Классный журнал'!F149:IV149,"н"))</f>
        <v>0</v>
      </c>
      <c r="S149" s="19">
        <f t="shared" si="28"/>
        <v>0</v>
      </c>
      <c r="T149" s="49">
        <f t="shared" si="29"/>
        <v>3</v>
      </c>
      <c r="U149" s="41">
        <f t="shared" si="30"/>
        <v>2.6129032258064515</v>
      </c>
    </row>
    <row r="150" spans="1:21" ht="23.25">
      <c r="A150" s="281">
        <f>IF(AND('Классный журнал'!C150="-",'Классный журнал'!D150&lt;=$J$5),-1,IF(AND('Классный журнал'!C150="-",'Классный журнал'!D150&gt;$J$5),"x",IF('Классный журнал'!C150="+",1,0)))</f>
        <v>0</v>
      </c>
      <c r="B150" s="126">
        <f t="shared" si="21"/>
      </c>
      <c r="C150" s="80">
        <f t="shared" si="22"/>
      </c>
      <c r="D150" s="22">
        <v>22</v>
      </c>
      <c r="E150" s="50" t="str">
        <f>IF('Классный журнал'!E150="","",IF(OR(A150=-1,A150="x"),"",IF(A150=1,'Классный журнал'!E150,'Классный журнал'!E150)))</f>
        <v>Никифоров Алексей</v>
      </c>
      <c r="F150" s="19">
        <f t="shared" si="23"/>
        <v>12</v>
      </c>
      <c r="G150" s="19">
        <f t="shared" si="24"/>
        <v>45</v>
      </c>
      <c r="H150" s="23">
        <f t="shared" si="25"/>
        <v>3.75</v>
      </c>
      <c r="I150" s="24">
        <f t="shared" si="26"/>
        <v>4</v>
      </c>
      <c r="J150" s="24">
        <f t="shared" si="27"/>
        <v>6</v>
      </c>
      <c r="K150" s="19">
        <f>IF(E150="","",COUNTIF('Классный журнал'!F150:IV150,5))</f>
        <v>1</v>
      </c>
      <c r="L150" s="19">
        <f>IF(E150="","",COUNTIF('Классный журнал'!F150:IV150,4))</f>
        <v>8</v>
      </c>
      <c r="M150" s="19">
        <f>IF(E150="","",COUNTIF('Классный журнал'!F150:IV150,3))</f>
        <v>2</v>
      </c>
      <c r="N150" s="19">
        <f>IF(E150="","",COUNTIF('Классный журнал'!F150:IV150,2))</f>
        <v>1</v>
      </c>
      <c r="O150" s="19">
        <f>IF(E150="","",COUNTIF('Классный журнал'!F150:IV150,1))</f>
        <v>0</v>
      </c>
      <c r="P150" s="19">
        <f>IF(E150="",0,COUNTIF('Классный журнал'!F150:IV150,"н/б"))</f>
        <v>0</v>
      </c>
      <c r="Q150" s="19">
        <f>IF(E150="",0,COUNTIF('Классный журнал'!F150:IV150,"н/у"))</f>
        <v>1</v>
      </c>
      <c r="R150" s="19">
        <f>IF(E150="",0,COUNTIF('Классный журнал'!F150:IV150,"н"))</f>
        <v>0</v>
      </c>
      <c r="S150" s="19">
        <f t="shared" si="28"/>
        <v>1</v>
      </c>
      <c r="T150" s="49">
        <f t="shared" si="29"/>
        <v>4</v>
      </c>
      <c r="U150" s="41">
        <f t="shared" si="30"/>
        <v>3.72</v>
      </c>
    </row>
    <row r="151" spans="1:21" ht="23.25">
      <c r="A151" s="281">
        <f>IF(AND('Классный журнал'!C151="-",'Классный журнал'!D151&lt;=$J$5),-1,IF(AND('Классный журнал'!C151="-",'Классный журнал'!D151&gt;$J$5),"x",IF('Классный журнал'!C151="+",1,0)))</f>
        <v>0</v>
      </c>
      <c r="B151" s="126">
        <f t="shared" si="21"/>
      </c>
      <c r="C151" s="80">
        <f t="shared" si="22"/>
      </c>
      <c r="D151" s="22">
        <v>23</v>
      </c>
      <c r="E151" s="50" t="str">
        <f>IF('Классный журнал'!E151="","",IF(OR(A151=-1,A151="x"),"",IF(A151=1,'Классный журнал'!E151,'Классный журнал'!E151)))</f>
        <v>Панченко Олеся</v>
      </c>
      <c r="F151" s="19">
        <f t="shared" si="23"/>
        <v>13</v>
      </c>
      <c r="G151" s="19">
        <f t="shared" si="24"/>
        <v>38</v>
      </c>
      <c r="H151" s="23">
        <f t="shared" si="25"/>
        <v>2.923076923076923</v>
      </c>
      <c r="I151" s="24">
        <f t="shared" si="26"/>
        <v>24</v>
      </c>
      <c r="J151" s="24">
        <f t="shared" si="27"/>
        <v>24</v>
      </c>
      <c r="K151" s="19">
        <f>IF(E151="","",COUNTIF('Классный журнал'!F151:IV151,5))</f>
        <v>0</v>
      </c>
      <c r="L151" s="19">
        <f>IF(E151="","",COUNTIF('Классный журнал'!F151:IV151,4))</f>
        <v>3</v>
      </c>
      <c r="M151" s="19">
        <f>IF(E151="","",COUNTIF('Классный журнал'!F151:IV151,3))</f>
        <v>7</v>
      </c>
      <c r="N151" s="19">
        <f>IF(E151="","",COUNTIF('Классный журнал'!F151:IV151,2))</f>
        <v>2</v>
      </c>
      <c r="O151" s="19">
        <f>IF(E151="","",COUNTIF('Классный журнал'!F151:IV151,1))</f>
        <v>1</v>
      </c>
      <c r="P151" s="19">
        <f>IF(E151="",0,COUNTIF('Классный журнал'!F151:IV151,"н/б"))</f>
        <v>1</v>
      </c>
      <c r="Q151" s="19">
        <f>IF(E151="",0,COUNTIF('Классный журнал'!F151:IV151,"н/у"))</f>
        <v>0</v>
      </c>
      <c r="R151" s="19">
        <f>IF(E151="",0,COUNTIF('Классный журнал'!F151:IV151,"н"))</f>
        <v>1</v>
      </c>
      <c r="S151" s="19">
        <f t="shared" si="28"/>
        <v>2</v>
      </c>
      <c r="T151" s="49">
        <f t="shared" si="29"/>
        <v>3</v>
      </c>
      <c r="U151" s="41">
        <f t="shared" si="30"/>
        <v>2.6785714285714284</v>
      </c>
    </row>
    <row r="152" spans="1:21" ht="23.25">
      <c r="A152" s="281">
        <f>IF(AND('Классный журнал'!C152="-",'Классный журнал'!D152&lt;=$J$5),-1,IF(AND('Классный журнал'!C152="-",'Классный журнал'!D152&gt;$J$5),"x",IF('Классный журнал'!C152="+",1,0)))</f>
        <v>0</v>
      </c>
      <c r="B152" s="126">
        <f t="shared" si="21"/>
      </c>
      <c r="C152" s="80">
        <f t="shared" si="22"/>
      </c>
      <c r="D152" s="22">
        <v>24</v>
      </c>
      <c r="E152" s="50" t="str">
        <f>IF('Классный журнал'!E152="","",IF(OR(A152=-1,A152="x"),"",IF(A152=1,'Классный журнал'!E152,'Классный журнал'!E152)))</f>
        <v>Перцев Владимир</v>
      </c>
      <c r="F152" s="19">
        <f t="shared" si="23"/>
        <v>14</v>
      </c>
      <c r="G152" s="19">
        <f t="shared" si="24"/>
        <v>45</v>
      </c>
      <c r="H152" s="23">
        <f t="shared" si="25"/>
        <v>3.2142857142857144</v>
      </c>
      <c r="I152" s="24">
        <f t="shared" si="26"/>
        <v>17</v>
      </c>
      <c r="J152" s="24">
        <f t="shared" si="27"/>
        <v>16</v>
      </c>
      <c r="K152" s="19">
        <f>IF(E152="","",COUNTIF('Классный журнал'!F152:IV152,5))</f>
        <v>0</v>
      </c>
      <c r="L152" s="19">
        <f>IF(E152="","",COUNTIF('Классный журнал'!F152:IV152,4))</f>
        <v>5</v>
      </c>
      <c r="M152" s="19">
        <f>IF(E152="","",COUNTIF('Классный журнал'!F152:IV152,3))</f>
        <v>7</v>
      </c>
      <c r="N152" s="19">
        <f>IF(E152="","",COUNTIF('Классный журнал'!F152:IV152,2))</f>
        <v>2</v>
      </c>
      <c r="O152" s="19">
        <f>IF(E152="","",COUNTIF('Классный журнал'!F152:IV152,1))</f>
        <v>0</v>
      </c>
      <c r="P152" s="19">
        <f>IF(E152="",0,COUNTIF('Классный журнал'!F152:IV152,"н/б"))</f>
        <v>0</v>
      </c>
      <c r="Q152" s="19">
        <f>IF(E152="",0,COUNTIF('Классный журнал'!F152:IV152,"н/у"))</f>
        <v>0</v>
      </c>
      <c r="R152" s="19">
        <f>IF(E152="",0,COUNTIF('Классный журнал'!F152:IV152,"н"))</f>
        <v>0</v>
      </c>
      <c r="S152" s="19">
        <f t="shared" si="28"/>
        <v>0</v>
      </c>
      <c r="T152" s="49">
        <f t="shared" si="29"/>
        <v>3</v>
      </c>
      <c r="U152" s="41">
        <f t="shared" si="30"/>
        <v>3.096774193548387</v>
      </c>
    </row>
    <row r="153" spans="1:21" ht="23.25">
      <c r="A153" s="281">
        <f>IF(AND('Классный журнал'!C153="-",'Классный журнал'!D153&lt;=$J$5),-1,IF(AND('Классный журнал'!C153="-",'Классный журнал'!D153&gt;$J$5),"x",IF('Классный журнал'!C153="+",1,0)))</f>
        <v>0</v>
      </c>
      <c r="B153" s="126" t="str">
        <f t="shared" si="21"/>
        <v>XX</v>
      </c>
      <c r="C153" s="80">
        <f t="shared" si="22"/>
      </c>
      <c r="D153" s="22">
        <v>25</v>
      </c>
      <c r="E153" s="50" t="str">
        <f>IF('Классный журнал'!E153="","",IF(OR(A153=-1,A153="x"),"",IF(A153=1,'Классный журнал'!E153,'Классный журнал'!E153)))</f>
        <v>Плешивцев Виталий</v>
      </c>
      <c r="F153" s="19">
        <f t="shared" si="23"/>
        <v>10</v>
      </c>
      <c r="G153" s="19">
        <f t="shared" si="24"/>
        <v>30</v>
      </c>
      <c r="H153" s="23">
        <f t="shared" si="25"/>
        <v>3</v>
      </c>
      <c r="I153" s="24">
        <f t="shared" si="26"/>
        <v>20</v>
      </c>
      <c r="J153" s="24">
        <f t="shared" si="27"/>
        <v>20</v>
      </c>
      <c r="K153" s="19">
        <f>IF(E153="","",COUNTIF('Классный журнал'!F153:IV153,5))</f>
        <v>0</v>
      </c>
      <c r="L153" s="19">
        <f>IF(E153="","",COUNTIF('Классный журнал'!F153:IV153,4))</f>
        <v>1</v>
      </c>
      <c r="M153" s="19">
        <f>IF(E153="","",COUNTIF('Классный журнал'!F153:IV153,3))</f>
        <v>8</v>
      </c>
      <c r="N153" s="19">
        <f>IF(E153="","",COUNTIF('Классный журнал'!F153:IV153,2))</f>
        <v>1</v>
      </c>
      <c r="O153" s="19">
        <f>IF(E153="","",COUNTIF('Классный журнал'!F153:IV153,1))</f>
        <v>0</v>
      </c>
      <c r="P153" s="19">
        <f>IF(E153="",0,COUNTIF('Классный журнал'!F153:IV153,"н/б"))</f>
        <v>3</v>
      </c>
      <c r="Q153" s="19">
        <f>IF(E153="",0,COUNTIF('Классный журнал'!F153:IV153,"н/у"))</f>
        <v>0</v>
      </c>
      <c r="R153" s="19">
        <f>IF(E153="",0,COUNTIF('Классный журнал'!F153:IV153,"н"))</f>
        <v>0</v>
      </c>
      <c r="S153" s="19">
        <f t="shared" si="28"/>
        <v>3</v>
      </c>
      <c r="T153" s="49">
        <f t="shared" si="29"/>
        <v>3</v>
      </c>
      <c r="U153" s="41">
        <f t="shared" si="30"/>
        <v>2.909090909090909</v>
      </c>
    </row>
    <row r="154" spans="1:21" ht="23.25">
      <c r="A154" s="281">
        <f>IF(AND('Классный журнал'!C154="-",'Классный журнал'!D154&lt;=$J$5),-1,IF(AND('Классный журнал'!C154="-",'Классный журнал'!D154&gt;$J$5),"x",IF('Классный журнал'!C154="+",1,0)))</f>
        <v>0</v>
      </c>
      <c r="B154" s="126" t="str">
        <f t="shared" si="21"/>
        <v>XX</v>
      </c>
      <c r="C154" s="80">
        <f t="shared" si="22"/>
      </c>
      <c r="D154" s="22">
        <v>26</v>
      </c>
      <c r="E154" s="50" t="str">
        <f>IF('Классный журнал'!E154="","",IF(OR(A154=-1,A154="x"),"",IF(A154=1,'Классный журнал'!E154,'Классный журнал'!E154)))</f>
        <v>Савинов Александр</v>
      </c>
      <c r="F154" s="19">
        <f t="shared" si="23"/>
        <v>9</v>
      </c>
      <c r="G154" s="19">
        <f t="shared" si="24"/>
        <v>38</v>
      </c>
      <c r="H154" s="23">
        <f t="shared" si="25"/>
        <v>4.222222222222222</v>
      </c>
      <c r="I154" s="24">
        <f t="shared" si="26"/>
        <v>2</v>
      </c>
      <c r="J154" s="24">
        <f t="shared" si="27"/>
        <v>3</v>
      </c>
      <c r="K154" s="19">
        <f>IF(E154="","",COUNTIF('Классный журнал'!F154:IV154,5))</f>
        <v>4</v>
      </c>
      <c r="L154" s="19">
        <f>IF(E154="","",COUNTIF('Классный журнал'!F154:IV154,4))</f>
        <v>3</v>
      </c>
      <c r="M154" s="19">
        <f>IF(E154="","",COUNTIF('Классный журнал'!F154:IV154,3))</f>
        <v>2</v>
      </c>
      <c r="N154" s="19">
        <f>IF(E154="","",COUNTIF('Классный журнал'!F154:IV154,2))</f>
        <v>0</v>
      </c>
      <c r="O154" s="19">
        <f>IF(E154="","",COUNTIF('Классный журнал'!F154:IV154,1))</f>
        <v>0</v>
      </c>
      <c r="P154" s="19">
        <f>IF(E154="",0,COUNTIF('Классный журнал'!F154:IV154,"н/б"))</f>
        <v>2</v>
      </c>
      <c r="Q154" s="19">
        <f>IF(E154="",0,COUNTIF('Классный журнал'!F154:IV154,"н/у"))</f>
        <v>1</v>
      </c>
      <c r="R154" s="19">
        <f>IF(E154="",0,COUNTIF('Классный журнал'!F154:IV154,"н"))</f>
        <v>1</v>
      </c>
      <c r="S154" s="19">
        <f t="shared" si="28"/>
        <v>4</v>
      </c>
      <c r="T154" s="49">
        <f t="shared" si="29"/>
        <v>4</v>
      </c>
      <c r="U154" s="41">
        <f t="shared" si="30"/>
        <v>4.038461538461538</v>
      </c>
    </row>
    <row r="155" spans="1:21" ht="24" thickBot="1">
      <c r="A155" s="281">
        <f>IF(AND('Классный журнал'!C155="-",'Классный журнал'!D155&lt;=$J$5),-1,IF(AND('Классный журнал'!C155="-",'Классный журнал'!D155&gt;$J$5),"x",IF('Классный журнал'!C155="+",1,0)))</f>
        <v>0</v>
      </c>
      <c r="B155" s="126">
        <f t="shared" si="21"/>
      </c>
      <c r="C155" s="80">
        <f t="shared" si="22"/>
      </c>
      <c r="D155" s="22">
        <v>27</v>
      </c>
      <c r="E155" s="50" t="str">
        <f>IF('Классный журнал'!E155="","",IF(OR(A155=-1,A155="x"),"",IF(A155=1,'Классный журнал'!E155,'Классный журнал'!E155)))</f>
        <v>Фадеева Виктория</v>
      </c>
      <c r="F155" s="19">
        <f t="shared" si="23"/>
        <v>12</v>
      </c>
      <c r="G155" s="19">
        <f t="shared" si="24"/>
        <v>36</v>
      </c>
      <c r="H155" s="23">
        <f t="shared" si="25"/>
        <v>3</v>
      </c>
      <c r="I155" s="24">
        <f t="shared" si="26"/>
        <v>20</v>
      </c>
      <c r="J155" s="24">
        <f t="shared" si="27"/>
        <v>22</v>
      </c>
      <c r="K155" s="19">
        <f>IF(E155="","",COUNTIF('Классный журнал'!F155:IV155,5))</f>
        <v>0</v>
      </c>
      <c r="L155" s="19">
        <f>IF(E155="","",COUNTIF('Классный журнал'!F155:IV155,4))</f>
        <v>3</v>
      </c>
      <c r="M155" s="19">
        <f>IF(E155="","",COUNTIF('Классный журнал'!F155:IV155,3))</f>
        <v>6</v>
      </c>
      <c r="N155" s="19">
        <f>IF(E155="","",COUNTIF('Классный журнал'!F155:IV155,2))</f>
        <v>3</v>
      </c>
      <c r="O155" s="19">
        <f>IF(E155="","",COUNTIF('Классный журнал'!F155:IV155,1))</f>
        <v>0</v>
      </c>
      <c r="P155" s="19">
        <f>IF(E155="",0,COUNTIF('Классный журнал'!F155:IV155,"н/б"))</f>
        <v>0</v>
      </c>
      <c r="Q155" s="19">
        <f>IF(E155="",0,COUNTIF('Классный журнал'!F155:IV155,"н/у"))</f>
        <v>0</v>
      </c>
      <c r="R155" s="19">
        <f>IF(E155="",0,COUNTIF('Классный журнал'!F155:IV155,"н"))</f>
        <v>0</v>
      </c>
      <c r="S155" s="19">
        <f t="shared" si="28"/>
        <v>0</v>
      </c>
      <c r="T155" s="49">
        <f t="shared" si="29"/>
        <v>3</v>
      </c>
      <c r="U155" s="41">
        <f t="shared" si="30"/>
        <v>2.8461538461538463</v>
      </c>
    </row>
    <row r="156" spans="1:24" ht="24" thickTop="1">
      <c r="A156" s="281">
        <f>IF(AND('Классный журнал'!C156="-",'Классный журнал'!D156&lt;=$J$5),-1,IF(AND('Классный журнал'!C156="-",'Классный журнал'!D156&gt;$J$5),"x",IF('Классный журнал'!C156="+",1,0)))</f>
        <v>0</v>
      </c>
      <c r="B156" s="126">
        <f t="shared" si="21"/>
      </c>
      <c r="C156" s="80">
        <f t="shared" si="22"/>
      </c>
      <c r="D156" s="22">
        <v>28</v>
      </c>
      <c r="E156" s="50" t="str">
        <f>IF('Классный журнал'!E156="","",IF(OR(A156=-1,A156="x"),"",IF(A156=1,'Классный журнал'!E156,'Классный журнал'!E156)))</f>
        <v>Шестопалова Алёна</v>
      </c>
      <c r="F156" s="19">
        <f t="shared" si="23"/>
        <v>12</v>
      </c>
      <c r="G156" s="19">
        <f t="shared" si="24"/>
        <v>36</v>
      </c>
      <c r="H156" s="23">
        <f t="shared" si="25"/>
        <v>3</v>
      </c>
      <c r="I156" s="24">
        <f t="shared" si="26"/>
        <v>20</v>
      </c>
      <c r="J156" s="24">
        <f t="shared" si="27"/>
        <v>22</v>
      </c>
      <c r="K156" s="19">
        <f>IF(E156="","",COUNTIF('Классный журнал'!F156:IV156,5))</f>
        <v>0</v>
      </c>
      <c r="L156" s="19">
        <f>IF(E156="","",COUNTIF('Классный журнал'!F156:IV156,4))</f>
        <v>2</v>
      </c>
      <c r="M156" s="19">
        <f>IF(E156="","",COUNTIF('Классный журнал'!F156:IV156,3))</f>
        <v>8</v>
      </c>
      <c r="N156" s="19">
        <f>IF(E156="","",COUNTIF('Классный журнал'!F156:IV156,2))</f>
        <v>2</v>
      </c>
      <c r="O156" s="19">
        <f>IF(E156="","",COUNTIF('Классный журнал'!F156:IV156,1))</f>
        <v>0</v>
      </c>
      <c r="P156" s="19">
        <f>IF(E156="",0,COUNTIF('Классный журнал'!F156:IV156,"н/б"))</f>
        <v>5</v>
      </c>
      <c r="Q156" s="19">
        <f>IF(E156="",0,COUNTIF('Классный журнал'!F156:IV156,"н/у"))</f>
        <v>0</v>
      </c>
      <c r="R156" s="19">
        <f>IF(E156="",0,COUNTIF('Классный журнал'!F156:IV156,"н"))</f>
        <v>0</v>
      </c>
      <c r="S156" s="19">
        <f t="shared" si="28"/>
        <v>5</v>
      </c>
      <c r="T156" s="49">
        <f t="shared" si="29"/>
        <v>3</v>
      </c>
      <c r="U156" s="41">
        <f t="shared" si="30"/>
        <v>2.8461538461538463</v>
      </c>
      <c r="V156" s="328" t="s">
        <v>84</v>
      </c>
      <c r="W156" s="31" t="s">
        <v>40</v>
      </c>
      <c r="X156" s="15">
        <f>COUNTIF(T129:T163,"5")</f>
        <v>0</v>
      </c>
    </row>
    <row r="157" spans="1:24" ht="23.25">
      <c r="A157" s="281" t="str">
        <f>IF(AND('Классный журнал'!C157="-",'Классный журнал'!D157&lt;=$J$5),-1,IF(AND('Классный журнал'!C157="-",'Классный журнал'!D157&gt;$J$5),"x",IF('Классный журнал'!C157="+",1,0)))</f>
        <v>x</v>
      </c>
      <c r="B157" s="126">
        <f t="shared" si="21"/>
      </c>
      <c r="C157" s="80">
        <f t="shared" si="22"/>
      </c>
      <c r="D157" s="22">
        <v>29</v>
      </c>
      <c r="E157" s="50">
        <f>IF('Классный журнал'!E157="","",IF(OR(A157=-1,A157="x"),"",IF(A157=1,'Классный журнал'!E157,'Классный журнал'!E157)))</f>
      </c>
      <c r="F157" s="19">
        <f t="shared" si="23"/>
        <v>0</v>
      </c>
      <c r="G157" s="19">
        <f t="shared" si="24"/>
        <v>0</v>
      </c>
      <c r="H157" s="23">
        <f t="shared" si="25"/>
      </c>
      <c r="I157" s="24">
        <f t="shared" si="26"/>
      </c>
      <c r="J157" s="24">
        <f t="shared" si="27"/>
      </c>
      <c r="K157" s="19">
        <f>IF(E157="","",COUNTIF('Классный журнал'!F157:IV157,5))</f>
      </c>
      <c r="L157" s="19">
        <f>IF(E157="","",COUNTIF('Классный журнал'!F157:IV157,4))</f>
      </c>
      <c r="M157" s="19">
        <f>IF(E157="","",COUNTIF('Классный журнал'!F157:IV157,3))</f>
      </c>
      <c r="N157" s="19">
        <f>IF(E157="","",COUNTIF('Классный журнал'!F157:IV157,2))</f>
      </c>
      <c r="O157" s="19">
        <f>IF(E157="","",COUNTIF('Классный журнал'!F157:IV157,1))</f>
      </c>
      <c r="P157" s="19">
        <f>IF(E157="",0,COUNTIF('Классный журнал'!F157:IV157,"н/б"))</f>
        <v>0</v>
      </c>
      <c r="Q157" s="19">
        <f>IF(E157="",0,COUNTIF('Классный журнал'!F157:IV157,"н/у"))</f>
        <v>0</v>
      </c>
      <c r="R157" s="19">
        <f>IF(E157="",0,COUNTIF('Классный журнал'!F157:IV157,"н"))</f>
        <v>0</v>
      </c>
      <c r="S157" s="19">
        <f t="shared" si="28"/>
      </c>
      <c r="T157" s="49">
        <f t="shared" si="29"/>
      </c>
      <c r="U157" s="41">
        <f t="shared" si="30"/>
      </c>
      <c r="V157" s="329"/>
      <c r="W157" s="19" t="s">
        <v>41</v>
      </c>
      <c r="X157" s="115">
        <f>COUNTIF(T129:T163,"4")</f>
        <v>6</v>
      </c>
    </row>
    <row r="158" spans="1:24" ht="23.25">
      <c r="A158" s="281">
        <f>IF(AND('Классный журнал'!C158="-",'Классный журнал'!D158&lt;=$J$5),-1,IF(AND('Классный журнал'!C158="-",'Классный журнал'!D158&gt;$J$5),"x",IF('Классный журнал'!C158="+",1,0)))</f>
        <v>1</v>
      </c>
      <c r="B158" s="126" t="str">
        <f t="shared" si="21"/>
        <v>x</v>
      </c>
      <c r="C158" s="80">
        <f t="shared" si="22"/>
      </c>
      <c r="D158" s="35">
        <v>30</v>
      </c>
      <c r="E158" s="50" t="str">
        <f>IF('Классный журнал'!E158="","",IF(OR(A158=-1,A158="x"),"",IF(A158=1,'Классный журнал'!E158,'Классный журнал'!E158)))</f>
        <v>Степанов Олег</v>
      </c>
      <c r="F158" s="19">
        <f t="shared" si="23"/>
        <v>11</v>
      </c>
      <c r="G158" s="19">
        <f t="shared" si="24"/>
        <v>36</v>
      </c>
      <c r="H158" s="23">
        <f t="shared" si="25"/>
        <v>3.272727272727273</v>
      </c>
      <c r="I158" s="24">
        <f t="shared" si="26"/>
        <v>16</v>
      </c>
      <c r="J158" s="24">
        <f t="shared" si="27"/>
        <v>14</v>
      </c>
      <c r="K158" s="19">
        <f>IF(E158="","",COUNTIF('Классный журнал'!F158:IV158,5))</f>
        <v>0</v>
      </c>
      <c r="L158" s="19">
        <f>IF(E158="","",COUNTIF('Классный журнал'!F158:IV158,4))</f>
        <v>4</v>
      </c>
      <c r="M158" s="19">
        <f>IF(E158="","",COUNTIF('Классный журнал'!F158:IV158,3))</f>
        <v>6</v>
      </c>
      <c r="N158" s="19">
        <f>IF(E158="","",COUNTIF('Классный журнал'!F158:IV158,2))</f>
        <v>1</v>
      </c>
      <c r="O158" s="19">
        <f>IF(E158="","",COUNTIF('Классный журнал'!F158:IV158,1))</f>
        <v>0</v>
      </c>
      <c r="P158" s="19">
        <f>IF(E158="",0,COUNTIF('Классный журнал'!F158:IV158,"н/б"))</f>
        <v>0</v>
      </c>
      <c r="Q158" s="19">
        <f>IF(E158="",0,COUNTIF('Классный журнал'!F158:IV158,"н/у"))</f>
        <v>0</v>
      </c>
      <c r="R158" s="19">
        <f>IF(E158="",0,COUNTIF('Классный журнал'!F158:IV158,"н"))</f>
        <v>0</v>
      </c>
      <c r="S158" s="19">
        <f t="shared" si="28"/>
        <v>0</v>
      </c>
      <c r="T158" s="49">
        <f t="shared" si="29"/>
        <v>3</v>
      </c>
      <c r="U158" s="41">
        <f t="shared" si="30"/>
        <v>3.1666666666666665</v>
      </c>
      <c r="V158" s="329"/>
      <c r="W158" s="19" t="s">
        <v>42</v>
      </c>
      <c r="X158" s="21">
        <f>COUNTIF(T129:T163,"3")</f>
        <v>21</v>
      </c>
    </row>
    <row r="159" spans="1:24" ht="23.25">
      <c r="A159" s="281">
        <f>IF(AND('Классный журнал'!C159="-",'Классный журнал'!D159&lt;=$J$5),-1,IF(AND('Классный журнал'!C159="-",'Классный журнал'!D159&gt;$J$5),"x",IF('Классный журнал'!C159="+",1,0)))</f>
        <v>1</v>
      </c>
      <c r="B159" s="126" t="str">
        <f t="shared" si="21"/>
        <v>x</v>
      </c>
      <c r="C159" s="80">
        <f t="shared" si="22"/>
      </c>
      <c r="D159" s="22">
        <v>31</v>
      </c>
      <c r="E159" s="50" t="str">
        <f>IF('Классный журнал'!E159="","",IF(OR(A159=-1,A159="x"),"",IF(A159=1,'Классный журнал'!E159,'Классный журнал'!E159)))</f>
        <v>Сидоров Глеб</v>
      </c>
      <c r="F159" s="19">
        <f t="shared" si="23"/>
        <v>11</v>
      </c>
      <c r="G159" s="19">
        <f t="shared" si="24"/>
        <v>41</v>
      </c>
      <c r="H159" s="23">
        <f t="shared" si="25"/>
        <v>3.727272727272727</v>
      </c>
      <c r="I159" s="24">
        <f t="shared" si="26"/>
        <v>6</v>
      </c>
      <c r="J159" s="24">
        <f t="shared" si="27"/>
        <v>5</v>
      </c>
      <c r="K159" s="19">
        <f>IF(E159="","",COUNTIF('Классный журнал'!F159:IV159,5))</f>
        <v>1</v>
      </c>
      <c r="L159" s="19">
        <f>IF(E159="","",COUNTIF('Классный журнал'!F159:IV159,4))</f>
        <v>6</v>
      </c>
      <c r="M159" s="19">
        <f>IF(E159="","",COUNTIF('Классный журнал'!F159:IV159,3))</f>
        <v>4</v>
      </c>
      <c r="N159" s="19">
        <f>IF(E159="","",COUNTIF('Классный журнал'!F159:IV159,2))</f>
        <v>0</v>
      </c>
      <c r="O159" s="19">
        <f>IF(E159="","",COUNTIF('Классный журнал'!F159:IV159,1))</f>
        <v>0</v>
      </c>
      <c r="P159" s="19">
        <f>IF(E159="",0,COUNTIF('Классный журнал'!F159:IV159,"н/б"))</f>
        <v>0</v>
      </c>
      <c r="Q159" s="19">
        <f>IF(E159="",0,COUNTIF('Классный журнал'!F159:IV159,"н/у"))</f>
        <v>0</v>
      </c>
      <c r="R159" s="19">
        <f>IF(E159="",0,COUNTIF('Классный журнал'!F159:IV159,"н"))</f>
        <v>0</v>
      </c>
      <c r="S159" s="19">
        <f t="shared" si="28"/>
        <v>0</v>
      </c>
      <c r="T159" s="49">
        <f t="shared" si="29"/>
        <v>4</v>
      </c>
      <c r="U159" s="41">
        <f t="shared" si="30"/>
        <v>3.727272727272727</v>
      </c>
      <c r="V159" s="329"/>
      <c r="W159" s="19" t="s">
        <v>43</v>
      </c>
      <c r="X159" s="21">
        <f>COUNTIF(T129:T163,"2")</f>
        <v>1</v>
      </c>
    </row>
    <row r="160" spans="1:24" ht="24" thickBot="1">
      <c r="A160" s="281">
        <f>IF(AND('Классный журнал'!C160="-",'Классный журнал'!D160&lt;=$J$5),-1,IF(AND('Классный журнал'!C160="-",'Классный журнал'!D160&gt;$J$5),"x",IF('Классный журнал'!C160="+",1,0)))</f>
        <v>0</v>
      </c>
      <c r="B160" s="126">
        <f t="shared" si="21"/>
      </c>
      <c r="C160" s="80">
        <f t="shared" si="22"/>
      </c>
      <c r="D160" s="35">
        <v>32</v>
      </c>
      <c r="E160" s="50">
        <f>IF('Классный журнал'!E160="","",IF(OR(A160=-1,A160="x"),"",IF(A160=1,'Классный журнал'!E160,'Классный журнал'!E160)))</f>
      </c>
      <c r="F160" s="19">
        <f t="shared" si="23"/>
        <v>0</v>
      </c>
      <c r="G160" s="19">
        <f t="shared" si="24"/>
        <v>0</v>
      </c>
      <c r="H160" s="23">
        <f t="shared" si="25"/>
      </c>
      <c r="I160" s="24">
        <f t="shared" si="26"/>
      </c>
      <c r="J160" s="24">
        <f t="shared" si="27"/>
      </c>
      <c r="K160" s="19">
        <f>IF(E160="","",COUNTIF('Классный журнал'!F160:IV160,5))</f>
      </c>
      <c r="L160" s="19">
        <f>IF(E160="","",COUNTIF('Классный журнал'!F160:IV160,4))</f>
      </c>
      <c r="M160" s="19">
        <f>IF(E160="","",COUNTIF('Классный журнал'!F160:IV160,3))</f>
      </c>
      <c r="N160" s="19">
        <f>IF(E160="","",COUNTIF('Классный журнал'!F160:IV160,2))</f>
      </c>
      <c r="O160" s="19">
        <f>IF(E160="","",COUNTIF('Классный журнал'!F160:IV160,1))</f>
      </c>
      <c r="P160" s="19">
        <f>IF(E160="",0,COUNTIF('Классный журнал'!F160:IV160,"н/б"))</f>
        <v>0</v>
      </c>
      <c r="Q160" s="19">
        <f>IF(E160="",0,COUNTIF('Классный журнал'!F160:IV160,"н/у"))</f>
        <v>0</v>
      </c>
      <c r="R160" s="19">
        <f>IF(E160="",0,COUNTIF('Классный журнал'!F160:IV160,"н"))</f>
        <v>0</v>
      </c>
      <c r="S160" s="19">
        <f t="shared" si="28"/>
      </c>
      <c r="T160" s="49">
        <f t="shared" si="29"/>
      </c>
      <c r="U160" s="41">
        <f t="shared" si="30"/>
      </c>
      <c r="V160" s="329"/>
      <c r="W160" s="36" t="s">
        <v>44</v>
      </c>
      <c r="X160" s="282">
        <f>COUNTIF(T129:T163,"1")</f>
        <v>0</v>
      </c>
    </row>
    <row r="161" spans="1:24" ht="24" thickTop="1">
      <c r="A161" s="281">
        <f>IF(AND('Классный журнал'!C161="-",'Классный журнал'!D161&lt;=$J$5),-1,IF(AND('Классный журнал'!C161="-",'Классный журнал'!D161&gt;$J$5),"x",IF('Классный журнал'!C161="+",1,0)))</f>
        <v>0</v>
      </c>
      <c r="B161" s="126">
        <f t="shared" si="21"/>
      </c>
      <c r="C161" s="80">
        <f t="shared" si="22"/>
      </c>
      <c r="D161" s="22">
        <v>33</v>
      </c>
      <c r="E161" s="50">
        <f>IF('Классный журнал'!E161="","",IF(OR(A161=-1,A161="x"),"",IF(A161=1,'Классный журнал'!E161,'Классный журнал'!E161)))</f>
      </c>
      <c r="F161" s="19">
        <f t="shared" si="23"/>
        <v>0</v>
      </c>
      <c r="G161" s="19">
        <f t="shared" si="24"/>
        <v>0</v>
      </c>
      <c r="H161" s="23">
        <f t="shared" si="25"/>
      </c>
      <c r="I161" s="24">
        <f t="shared" si="26"/>
      </c>
      <c r="J161" s="24">
        <f t="shared" si="27"/>
      </c>
      <c r="K161" s="19">
        <f>IF(E161="","",COUNTIF('Классный журнал'!F161:IV161,5))</f>
      </c>
      <c r="L161" s="19">
        <f>IF(E161="","",COUNTIF('Классный журнал'!F161:IV161,4))</f>
      </c>
      <c r="M161" s="19">
        <f>IF(E161="","",COUNTIF('Классный журнал'!F161:IV161,3))</f>
      </c>
      <c r="N161" s="19">
        <f>IF(E161="","",COUNTIF('Классный журнал'!F161:IV161,2))</f>
      </c>
      <c r="O161" s="19">
        <f>IF(E161="","",COUNTIF('Классный журнал'!F161:IV161,1))</f>
      </c>
      <c r="P161" s="19">
        <f>IF(E161="",0,COUNTIF('Классный журнал'!F161:IV161,"н/б"))</f>
        <v>0</v>
      </c>
      <c r="Q161" s="19">
        <f>IF(E161="",0,COUNTIF('Классный журнал'!F161:IV161,"н/у"))</f>
        <v>0</v>
      </c>
      <c r="R161" s="19">
        <f>IF(E161="",0,COUNTIF('Классный журнал'!F161:IV161,"н"))</f>
        <v>0</v>
      </c>
      <c r="S161" s="19">
        <f t="shared" si="28"/>
      </c>
      <c r="T161" s="49">
        <f t="shared" si="29"/>
      </c>
      <c r="U161" s="41">
        <f t="shared" si="30"/>
      </c>
      <c r="V161" s="330" t="s">
        <v>199</v>
      </c>
      <c r="W161" s="331"/>
      <c r="X161" s="15">
        <f>35-(COUNTIF(T129:T163,"н/а")+COUNTIF(T129:T163,""))</f>
        <v>28</v>
      </c>
    </row>
    <row r="162" spans="1:24" ht="23.25">
      <c r="A162" s="281">
        <f>IF(AND('Классный журнал'!C162="-",'Классный журнал'!D162&lt;=$J$5),-1,IF(AND('Классный журнал'!C162="-",'Классный журнал'!D162&gt;$J$5),"x",IF('Классный журнал'!C162="+",1,0)))</f>
        <v>0</v>
      </c>
      <c r="B162" s="126">
        <f t="shared" si="21"/>
      </c>
      <c r="C162" s="80">
        <f t="shared" si="22"/>
      </c>
      <c r="D162" s="35">
        <v>34</v>
      </c>
      <c r="E162" s="50">
        <f>IF('Классный журнал'!E162="","",IF(OR(A162=-1,A162="x"),"",IF(A162=1,'Классный журнал'!E162,'Классный журнал'!E162)))</f>
      </c>
      <c r="F162" s="19">
        <f t="shared" si="23"/>
        <v>0</v>
      </c>
      <c r="G162" s="19">
        <f t="shared" si="24"/>
        <v>0</v>
      </c>
      <c r="H162" s="23">
        <f t="shared" si="25"/>
      </c>
      <c r="I162" s="24">
        <f t="shared" si="26"/>
      </c>
      <c r="J162" s="24">
        <f t="shared" si="27"/>
      </c>
      <c r="K162" s="19">
        <f>IF(E162="","",COUNTIF('Классный журнал'!F162:IV162,5))</f>
      </c>
      <c r="L162" s="19">
        <f>IF(E162="","",COUNTIF('Классный журнал'!F162:IV162,4))</f>
      </c>
      <c r="M162" s="19">
        <f>IF(E162="","",COUNTIF('Классный журнал'!F162:IV162,3))</f>
      </c>
      <c r="N162" s="19">
        <f>IF(E162="","",COUNTIF('Классный журнал'!F162:IV162,2))</f>
      </c>
      <c r="O162" s="19">
        <f>IF(E162="","",COUNTIF('Классный журнал'!F162:IV162,1))</f>
      </c>
      <c r="P162" s="19">
        <f>IF(E162="",0,COUNTIF('Классный журнал'!F162:IV162,"н/б"))</f>
        <v>0</v>
      </c>
      <c r="Q162" s="19">
        <f>IF(E162="",0,COUNTIF('Классный журнал'!F162:IV162,"н/у"))</f>
        <v>0</v>
      </c>
      <c r="R162" s="19">
        <f>IF(E162="",0,COUNTIF('Классный журнал'!F162:IV162,"н"))</f>
        <v>0</v>
      </c>
      <c r="S162" s="19">
        <f t="shared" si="28"/>
      </c>
      <c r="T162" s="49">
        <f t="shared" si="29"/>
      </c>
      <c r="U162" s="41">
        <f t="shared" si="30"/>
      </c>
      <c r="V162" s="332" t="s">
        <v>78</v>
      </c>
      <c r="W162" s="333"/>
      <c r="X162" s="32">
        <f>(X156+X157+X158)/X161</f>
        <v>0.9642857142857143</v>
      </c>
    </row>
    <row r="163" spans="1:24" ht="23.25">
      <c r="A163" s="281">
        <f>IF(AND('Классный журнал'!C163="-",'Классный журнал'!D163&lt;=$J$5),-1,IF(AND('Классный журнал'!C163="-",'Классный журнал'!D163&gt;$J$5),"x",IF('Классный журнал'!C163="+",1,0)))</f>
        <v>0</v>
      </c>
      <c r="B163" s="126">
        <f t="shared" si="21"/>
      </c>
      <c r="C163" s="80">
        <f t="shared" si="22"/>
      </c>
      <c r="D163" s="22">
        <v>35</v>
      </c>
      <c r="E163" s="50">
        <f>IF('Классный журнал'!E163="","",IF(OR(A163=-1,A163="x"),"",IF(A163=1,'Классный журнал'!E163,'Классный журнал'!E163)))</f>
      </c>
      <c r="F163" s="19">
        <f t="shared" si="23"/>
        <v>0</v>
      </c>
      <c r="G163" s="19">
        <f t="shared" si="24"/>
        <v>0</v>
      </c>
      <c r="H163" s="23">
        <f t="shared" si="25"/>
      </c>
      <c r="I163" s="24">
        <f t="shared" si="26"/>
      </c>
      <c r="J163" s="24">
        <f t="shared" si="27"/>
      </c>
      <c r="K163" s="19">
        <f>IF(E163="","",COUNTIF('Классный журнал'!F163:IV163,5))</f>
      </c>
      <c r="L163" s="19">
        <f>IF(E163="","",COUNTIF('Классный журнал'!F163:IV163,4))</f>
      </c>
      <c r="M163" s="19">
        <f>IF(E163="","",COUNTIF('Классный журнал'!F163:IV163,3))</f>
      </c>
      <c r="N163" s="19">
        <f>IF(E163="","",COUNTIF('Классный журнал'!F163:IV163,2))</f>
      </c>
      <c r="O163" s="19">
        <f>IF(E163="","",COUNTIF('Классный журнал'!F163:IV163,1))</f>
      </c>
      <c r="P163" s="19">
        <f>IF(E163="",0,COUNTIF('Классный журнал'!F163:IV163,"н/б"))</f>
        <v>0</v>
      </c>
      <c r="Q163" s="19">
        <f>IF(E163="",0,COUNTIF('Классный журнал'!F163:IV163,"н/у"))</f>
        <v>0</v>
      </c>
      <c r="R163" s="19">
        <f>IF(E163="",0,COUNTIF('Классный журнал'!F163:IV163,"н"))</f>
        <v>0</v>
      </c>
      <c r="S163" s="19">
        <f t="shared" si="28"/>
      </c>
      <c r="T163" s="49">
        <f t="shared" si="29"/>
      </c>
      <c r="U163" s="41">
        <f t="shared" si="30"/>
      </c>
      <c r="V163" s="332" t="s">
        <v>79</v>
      </c>
      <c r="W163" s="333"/>
      <c r="X163" s="32">
        <f>(X156+X157)/X161</f>
        <v>0.21428571428571427</v>
      </c>
    </row>
    <row r="164" spans="2:24" ht="18.75" thickBot="1">
      <c r="B164" s="80"/>
      <c r="C164" s="80">
        <f>IF(E44="","",IF(ROUND($C$68,0)&lt;=F104,"",IF(ROUND($C$68,0)-F104=1,"x","XX")))</f>
      </c>
      <c r="D164" s="87"/>
      <c r="E164" s="25"/>
      <c r="F164" s="326" t="s">
        <v>49</v>
      </c>
      <c r="G164" s="327"/>
      <c r="H164" s="127">
        <f>SUM(H129:H163)/D128</f>
        <v>3.334523016665874</v>
      </c>
      <c r="I164" s="57"/>
      <c r="J164" s="58" t="s">
        <v>50</v>
      </c>
      <c r="K164" s="42">
        <f aca="true" t="shared" si="31" ref="K164:R164">SUM(K129:K158)</f>
        <v>34</v>
      </c>
      <c r="L164" s="42">
        <f t="shared" si="31"/>
        <v>94</v>
      </c>
      <c r="M164" s="42">
        <f t="shared" si="31"/>
        <v>142</v>
      </c>
      <c r="N164" s="42">
        <f t="shared" si="31"/>
        <v>42</v>
      </c>
      <c r="O164" s="59">
        <f t="shared" si="31"/>
        <v>9</v>
      </c>
      <c r="P164" s="128">
        <f t="shared" si="31"/>
        <v>20</v>
      </c>
      <c r="Q164" s="42">
        <f t="shared" si="31"/>
        <v>5</v>
      </c>
      <c r="R164" s="59">
        <f t="shared" si="31"/>
        <v>23</v>
      </c>
      <c r="S164" s="60">
        <f>SUM(P164:R164)</f>
        <v>48</v>
      </c>
      <c r="T164" s="61"/>
      <c r="V164" s="322" t="s">
        <v>80</v>
      </c>
      <c r="W164" s="323"/>
      <c r="X164" s="134">
        <f>(X156+X157*0.64+X158*0.32+(X159+X160)*0.16)/X161</f>
        <v>0.38285714285714284</v>
      </c>
    </row>
    <row r="165" spans="2:20" ht="18.75" thickTop="1">
      <c r="B165" s="1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135">
        <f>COUNT(T129:T158)</f>
        <v>27</v>
      </c>
    </row>
    <row r="166" spans="2:20" ht="18">
      <c r="B166" s="1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38"/>
      <c r="R166" s="131"/>
      <c r="S166" s="38"/>
      <c r="T166" s="38"/>
    </row>
    <row r="167" spans="2:20" ht="18" hidden="1">
      <c r="B167" s="1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131"/>
      <c r="R167" s="131"/>
      <c r="S167" s="38"/>
      <c r="T167" s="38"/>
    </row>
    <row r="168" spans="2:20" ht="18" hidden="1">
      <c r="B168" s="1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131"/>
      <c r="R168" s="131"/>
      <c r="S168" s="38"/>
      <c r="T168" s="38"/>
    </row>
    <row r="169" spans="2:20" ht="18" hidden="1">
      <c r="B169" s="1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131"/>
      <c r="R169" s="131"/>
      <c r="S169" s="38"/>
      <c r="T169" s="38"/>
    </row>
    <row r="170" spans="2:20" ht="18" hidden="1">
      <c r="B170" s="1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131"/>
      <c r="R170" s="131"/>
      <c r="S170" s="38"/>
      <c r="T170" s="38"/>
    </row>
    <row r="171" spans="2:20" ht="18" hidden="1">
      <c r="B171" s="1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131"/>
      <c r="R171" s="131"/>
      <c r="S171" s="131"/>
      <c r="T171" s="38"/>
    </row>
    <row r="172" spans="2:20" ht="18" hidden="1">
      <c r="B172" s="1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38"/>
      <c r="R172" s="38"/>
      <c r="S172" s="38"/>
      <c r="T172" s="54"/>
    </row>
    <row r="173" spans="2:20" ht="18" hidden="1">
      <c r="B173" s="1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38"/>
      <c r="R173" s="38"/>
      <c r="S173" s="38"/>
      <c r="T173" s="54"/>
    </row>
    <row r="174" spans="2:20" ht="18" hidden="1">
      <c r="B174" s="1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38"/>
      <c r="R174" s="38"/>
      <c r="S174" s="38"/>
      <c r="T174" s="55"/>
    </row>
    <row r="175" ht="12.75" hidden="1"/>
    <row r="176" ht="12.75" hidden="1"/>
    <row r="177" ht="12.75" hidden="1"/>
    <row r="178" ht="12.75" hidden="1"/>
    <row r="179" ht="12.75" hidden="1"/>
    <row r="180" ht="12.75" hidden="1"/>
    <row r="181" spans="2:19" ht="12.75" hidden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2:19" ht="12.75" hidden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2:19" ht="12.75" hidden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2:19" ht="18.75" thickBot="1">
      <c r="B184" s="5"/>
      <c r="C184" s="6"/>
      <c r="D184" s="5"/>
      <c r="E184" s="5"/>
      <c r="F184" s="5"/>
      <c r="G184" s="5"/>
      <c r="H184" s="5"/>
      <c r="I184" s="5"/>
      <c r="J184" s="5"/>
      <c r="K184" s="6"/>
      <c r="L184" s="5"/>
      <c r="M184" s="5"/>
      <c r="N184" s="5"/>
      <c r="O184" s="6"/>
      <c r="P184" s="5"/>
      <c r="Q184" s="1"/>
      <c r="R184" s="1"/>
      <c r="S184" s="1"/>
    </row>
    <row r="185" spans="2:20" ht="49.5" customHeight="1" thickBot="1" thickTop="1">
      <c r="B185" s="280">
        <f>SUM(F189:F223)/(COUNT(F189:F223)-COUNTIF(F189:F223,0))</f>
        <v>7.709677419354839</v>
      </c>
      <c r="C185" s="348" t="s">
        <v>221</v>
      </c>
      <c r="D185" s="48"/>
      <c r="E185" s="75" t="s">
        <v>214</v>
      </c>
      <c r="F185" s="76" t="s">
        <v>215</v>
      </c>
      <c r="G185" s="77" t="s">
        <v>231</v>
      </c>
      <c r="H185" s="324" t="s">
        <v>216</v>
      </c>
      <c r="I185" s="325"/>
      <c r="J185" s="114">
        <f>T125</f>
        <v>28</v>
      </c>
      <c r="K185" s="324" t="s">
        <v>217</v>
      </c>
      <c r="L185" s="340"/>
      <c r="M185" s="340"/>
      <c r="N185" s="79">
        <f>COUNTIF(A189:A223,1)-COUNTIF(A189:A223,-1)</f>
        <v>3</v>
      </c>
      <c r="O185" s="324" t="s">
        <v>218</v>
      </c>
      <c r="P185" s="340"/>
      <c r="Q185" s="79">
        <f>(COUNTIF(A189:A223,-1)+COUNTIF(A189:A223,"x"))-N5-N65-N125</f>
        <v>0</v>
      </c>
      <c r="R185" s="341" t="s">
        <v>223</v>
      </c>
      <c r="S185" s="342"/>
      <c r="T185" s="79">
        <f>J185+N185-Q185</f>
        <v>31</v>
      </c>
    </row>
    <row r="186" spans="2:20" ht="20.25" customHeight="1" thickBot="1" thickTop="1">
      <c r="B186" s="345" t="s">
        <v>220</v>
      </c>
      <c r="C186" s="349"/>
      <c r="D186" s="9"/>
      <c r="E186" s="10">
        <f ca="1">NOW()</f>
        <v>39252.58940462963</v>
      </c>
      <c r="F186" s="11" t="s">
        <v>32</v>
      </c>
      <c r="G186" s="343" t="s">
        <v>201</v>
      </c>
      <c r="H186" s="344"/>
      <c r="I186" s="344"/>
      <c r="J186" s="125">
        <v>8</v>
      </c>
      <c r="K186" s="343" t="s">
        <v>190</v>
      </c>
      <c r="L186" s="344"/>
      <c r="M186" s="344"/>
      <c r="N186" s="344"/>
      <c r="O186" s="46">
        <f>'Классный журнал'!$D$184</f>
        <v>2</v>
      </c>
      <c r="P186" s="338" t="s">
        <v>34</v>
      </c>
      <c r="Q186" s="339"/>
      <c r="R186" s="339"/>
      <c r="S186" s="29">
        <f>COUNT('Классный журнал'!C188:IV188)</f>
        <v>15</v>
      </c>
      <c r="T186" s="34" t="s">
        <v>35</v>
      </c>
    </row>
    <row r="187" spans="2:20" ht="54.75" customHeight="1" thickTop="1">
      <c r="B187" s="346"/>
      <c r="C187" s="349"/>
      <c r="D187" s="16" t="s">
        <v>1</v>
      </c>
      <c r="E187" s="17" t="str">
        <f>'Классный журнал'!E187</f>
        <v>Учащихся   31</v>
      </c>
      <c r="F187" s="17" t="s">
        <v>36</v>
      </c>
      <c r="G187" s="17" t="s">
        <v>37</v>
      </c>
      <c r="H187" s="17" t="s">
        <v>38</v>
      </c>
      <c r="I187" s="17" t="s">
        <v>188</v>
      </c>
      <c r="J187" s="17" t="s">
        <v>184</v>
      </c>
      <c r="K187" s="334" t="s">
        <v>185</v>
      </c>
      <c r="L187" s="335"/>
      <c r="M187" s="335"/>
      <c r="N187" s="335"/>
      <c r="O187" s="337"/>
      <c r="P187" s="334" t="s">
        <v>39</v>
      </c>
      <c r="Q187" s="335"/>
      <c r="R187" s="335"/>
      <c r="S187" s="336"/>
      <c r="T187" s="18" t="s">
        <v>93</v>
      </c>
    </row>
    <row r="188" spans="2:20" ht="18" customHeight="1">
      <c r="B188" s="347"/>
      <c r="C188" s="350"/>
      <c r="D188" s="17">
        <f>35-COUNTBLANK(E189:E223)</f>
        <v>31</v>
      </c>
      <c r="E188" s="17" t="s">
        <v>2</v>
      </c>
      <c r="F188" s="17"/>
      <c r="G188" s="17"/>
      <c r="H188" s="17">
        <f>COUNTA(E189:E223)-COUNTBLANK(E189:E223)</f>
        <v>31</v>
      </c>
      <c r="I188" s="17"/>
      <c r="J188" s="17"/>
      <c r="K188" s="19" t="s">
        <v>40</v>
      </c>
      <c r="L188" s="19" t="s">
        <v>41</v>
      </c>
      <c r="M188" s="19" t="s">
        <v>42</v>
      </c>
      <c r="N188" s="19" t="s">
        <v>43</v>
      </c>
      <c r="O188" s="19" t="s">
        <v>44</v>
      </c>
      <c r="P188" s="20" t="s">
        <v>45</v>
      </c>
      <c r="Q188" s="20" t="s">
        <v>46</v>
      </c>
      <c r="R188" s="20" t="s">
        <v>47</v>
      </c>
      <c r="S188" s="19" t="s">
        <v>48</v>
      </c>
      <c r="T188" s="21"/>
    </row>
    <row r="189" spans="1:21" ht="23.25">
      <c r="A189" s="281">
        <f>IF(AND('Классный журнал'!C189="-",'Классный журнал'!D189&lt;=$J$5),-1,IF(AND('Классный журнал'!C189="-",'Классный журнал'!D189&gt;$J$5),"x",IF('Классный журнал'!C189="+",1,0)))</f>
        <v>0</v>
      </c>
      <c r="B189" s="126" t="str">
        <f>IF(E189="","",IF(ROUND($B$185,0)&lt;=F189,"",IF(ROUND($B$185,0)-F189=1,"x","XX")))</f>
        <v>x</v>
      </c>
      <c r="C189" s="126">
        <f>IF(E189="","",IF(H189&lt;2.5,"!",""))</f>
      </c>
      <c r="D189" s="22">
        <v>1</v>
      </c>
      <c r="E189" s="50" t="str">
        <f>IF('Классный журнал'!E189="","",IF(OR(A189=-1,A189="x"),"",IF(A189=1,'Классный журнал'!E189,'Классный журнал'!E189)))</f>
        <v>Алексеева Настя</v>
      </c>
      <c r="F189" s="19">
        <f>IF(E189="",0,SUM(K189:O189))</f>
        <v>7</v>
      </c>
      <c r="G189" s="19">
        <f>IF(E189="",0,SUM(K189*5,L189*4,M189*3,N189*2,O189))</f>
        <v>29</v>
      </c>
      <c r="H189" s="23">
        <f>IF(E189="","",G189/F189)</f>
        <v>4.142857142857143</v>
      </c>
      <c r="I189" s="24">
        <f>IF(E189="","",RANK(H189,$H$189:$H$223,0))</f>
        <v>5</v>
      </c>
      <c r="J189" s="24">
        <f>IF(E189="","",RANK(U189,$U$189:$U$223,0))</f>
        <v>9</v>
      </c>
      <c r="K189" s="19">
        <f>IF(E189="","",COUNTIF('Классный журнал'!F189:IV189,5))</f>
        <v>3</v>
      </c>
      <c r="L189" s="19">
        <f>IF(E189="","",COUNTIF('Классный журнал'!F189:IV189,4))</f>
        <v>2</v>
      </c>
      <c r="M189" s="19">
        <f>IF(E189="","",COUNTIF('Классный журнал'!F189:IV189,3))</f>
        <v>2</v>
      </c>
      <c r="N189" s="19">
        <f>IF(E189="","",COUNTIF('Классный журнал'!F189:IV189,2))</f>
        <v>0</v>
      </c>
      <c r="O189" s="19">
        <f>IF(E189="","",COUNTIF('Классный журнал'!F189:IV189,1))</f>
        <v>0</v>
      </c>
      <c r="P189" s="19">
        <f>IF(E189="",0,COUNTIF('Классный журнал'!F189:IV189,"н/б"))</f>
        <v>0</v>
      </c>
      <c r="Q189" s="19">
        <f>IF(E189="",0,COUNTIF('Классный журнал'!F189:IV189,"н/у"))</f>
        <v>0</v>
      </c>
      <c r="R189" s="19">
        <f>IF(E189="",0,COUNTIF('Классный журнал'!F189:IV189,"н"))</f>
        <v>1</v>
      </c>
      <c r="S189" s="19">
        <f>IF(E189="","",SUM(P189:R189))</f>
        <v>1</v>
      </c>
      <c r="T189" s="49">
        <f>IF(E189="","",IF(F189&lt;($O$186*3),"н/а",IF(H189&gt;=4.8,5,IF(AND(3.7&lt;=H189,H189&lt;4.8),4,IF(AND(2.5&lt;=H189,H189&lt;3.7),3,IF(H189=0,"--",2))))))</f>
        <v>4</v>
      </c>
      <c r="U189" s="41">
        <f>IF(E189="","",(G9+G69+G129+G189)/(F9+F69+F129+F189))</f>
        <v>3.6176470588235294</v>
      </c>
    </row>
    <row r="190" spans="1:21" ht="23.25">
      <c r="A190" s="281">
        <f>IF(AND('Классный журнал'!C190="-",'Классный журнал'!D190&lt;=$J$5),-1,IF(AND('Классный журнал'!C190="-",'Классный журнал'!D190&gt;$J$5),"x",IF('Классный журнал'!C190="+",1,0)))</f>
        <v>0</v>
      </c>
      <c r="B190" s="126">
        <f aca="true" t="shared" si="32" ref="B190:B223">IF(E190="","",IF(ROUND($B$185,0)&lt;=F190,"",IF(ROUND($B$185,0)-F190=1,"x","XX")))</f>
      </c>
      <c r="C190" s="126">
        <f aca="true" t="shared" si="33" ref="C190:C223">IF(E190="","",IF(H190&lt;2.5,"!",""))</f>
      </c>
      <c r="D190" s="22">
        <v>2</v>
      </c>
      <c r="E190" s="50" t="str">
        <f>IF('Классный журнал'!E190="","",IF(OR(A190=-1,A190="x"),"",IF(A190=1,'Классный журнал'!E190,'Классный журнал'!E190)))</f>
        <v>Богоутдинов Данил</v>
      </c>
      <c r="F190" s="19">
        <f aca="true" t="shared" si="34" ref="F190:F223">IF(E190="",0,SUM(K190:O190))</f>
        <v>8</v>
      </c>
      <c r="G190" s="19">
        <f aca="true" t="shared" si="35" ref="G190:G223">IF(E190="",0,SUM(K190*5,L190*4,M190*3,N190*2,O190))</f>
        <v>27</v>
      </c>
      <c r="H190" s="23">
        <f aca="true" t="shared" si="36" ref="H190:H223">IF(E190="","",G190/F190)</f>
        <v>3.375</v>
      </c>
      <c r="I190" s="24">
        <f aca="true" t="shared" si="37" ref="I190:I223">IF(E190="","",RANK(H190,$H$189:$H$223,0))</f>
        <v>11</v>
      </c>
      <c r="J190" s="24">
        <f aca="true" t="shared" si="38" ref="J190:J223">IF(E190="","",RANK(U190,$U$189:$U$223,0))</f>
        <v>12</v>
      </c>
      <c r="K190" s="19">
        <f>IF(E190="","",COUNTIF('Классный журнал'!F190:IV190,5))</f>
        <v>0</v>
      </c>
      <c r="L190" s="19">
        <f>IF(E190="","",COUNTIF('Классный журнал'!F190:IV190,4))</f>
        <v>5</v>
      </c>
      <c r="M190" s="19">
        <f>IF(E190="","",COUNTIF('Классный журнал'!F190:IV190,3))</f>
        <v>1</v>
      </c>
      <c r="N190" s="19">
        <f>IF(E190="","",COUNTIF('Классный журнал'!F190:IV190,2))</f>
        <v>2</v>
      </c>
      <c r="O190" s="19">
        <f>IF(E190="","",COUNTIF('Классный журнал'!F190:IV190,1))</f>
        <v>0</v>
      </c>
      <c r="P190" s="19">
        <f>IF(E190="",0,COUNTIF('Классный журнал'!F190:IV190,"н/б"))</f>
        <v>1</v>
      </c>
      <c r="Q190" s="19">
        <f>IF(E190="",0,COUNTIF('Классный журнал'!F190:IV190,"н/у"))</f>
        <v>1</v>
      </c>
      <c r="R190" s="19">
        <f>IF(E190="",0,COUNTIF('Классный журнал'!F190:IV190,"н"))</f>
        <v>2</v>
      </c>
      <c r="S190" s="19">
        <f aca="true" t="shared" si="39" ref="S190:S223">IF(E190="","",SUM(P190:R190))</f>
        <v>4</v>
      </c>
      <c r="T190" s="49">
        <f aca="true" t="shared" si="40" ref="T190:T220">IF(E190="","",IF(F190&lt;($O$186*3),"н/а",IF(H190&gt;=4.8,5,IF(AND(3.7&lt;=H190,H190&lt;4.8),4,IF(AND(2.5&lt;=H190,H190&lt;3.7),3,IF(H190=0,"--",2))))))</f>
        <v>3</v>
      </c>
      <c r="U190" s="41">
        <f aca="true" t="shared" si="41" ref="U190:U223">IF(E190="","",(G10+G70+G130+G190)/(F10+F70+F130+F190))</f>
        <v>3.4</v>
      </c>
    </row>
    <row r="191" spans="1:21" ht="23.25">
      <c r="A191" s="281">
        <f>IF(AND('Классный журнал'!C191="-",'Классный журнал'!D191&lt;=$J$5),-1,IF(AND('Классный журнал'!C191="-",'Классный журнал'!D191&gt;$J$5),"x",IF('Классный журнал'!C191="+",1,0)))</f>
        <v>0</v>
      </c>
      <c r="B191" s="126" t="str">
        <f t="shared" si="32"/>
        <v>x</v>
      </c>
      <c r="C191" s="126">
        <f t="shared" si="33"/>
      </c>
      <c r="D191" s="22">
        <v>3</v>
      </c>
      <c r="E191" s="50" t="str">
        <f>IF('Классный журнал'!E191="","",IF(OR(A191=-1,A191="x"),"",IF(A191=1,'Классный журнал'!E191,'Классный журнал'!E191)))</f>
        <v>Бавеян Рафик</v>
      </c>
      <c r="F191" s="19">
        <f t="shared" si="34"/>
        <v>7</v>
      </c>
      <c r="G191" s="19">
        <f t="shared" si="35"/>
        <v>18</v>
      </c>
      <c r="H191" s="23">
        <f t="shared" si="36"/>
        <v>2.5714285714285716</v>
      </c>
      <c r="I191" s="24">
        <f t="shared" si="37"/>
        <v>25</v>
      </c>
      <c r="J191" s="24">
        <f t="shared" si="38"/>
        <v>20</v>
      </c>
      <c r="K191" s="19">
        <f>IF(E191="","",COUNTIF('Классный журнал'!F191:IV191,5))</f>
        <v>0</v>
      </c>
      <c r="L191" s="19">
        <f>IF(E191="","",COUNTIF('Классный журнал'!F191:IV191,4))</f>
        <v>1</v>
      </c>
      <c r="M191" s="19">
        <f>IF(E191="","",COUNTIF('Классный журнал'!F191:IV191,3))</f>
        <v>3</v>
      </c>
      <c r="N191" s="19">
        <f>IF(E191="","",COUNTIF('Классный журнал'!F191:IV191,2))</f>
        <v>2</v>
      </c>
      <c r="O191" s="19">
        <f>IF(E191="","",COUNTIF('Классный журнал'!F191:IV191,1))</f>
        <v>1</v>
      </c>
      <c r="P191" s="19">
        <f>IF(E191="",0,COUNTIF('Классный журнал'!F191:IV191,"н/б"))</f>
        <v>2</v>
      </c>
      <c r="Q191" s="19">
        <f>IF(E191="",0,COUNTIF('Классный журнал'!F191:IV191,"н/у"))</f>
        <v>0</v>
      </c>
      <c r="R191" s="19">
        <f>IF(E191="",0,COUNTIF('Классный журнал'!F191:IV191,"н"))</f>
        <v>2</v>
      </c>
      <c r="S191" s="19">
        <f t="shared" si="39"/>
        <v>4</v>
      </c>
      <c r="T191" s="49">
        <f t="shared" si="40"/>
        <v>3</v>
      </c>
      <c r="U191" s="41">
        <f t="shared" si="41"/>
        <v>2.9375</v>
      </c>
    </row>
    <row r="192" spans="1:21" ht="23.25">
      <c r="A192" s="281">
        <f>IF(AND('Классный журнал'!C192="-",'Классный журнал'!D192&lt;=$J$5),-1,IF(AND('Классный журнал'!C192="-",'Классный журнал'!D192&gt;$J$5),"x",IF('Классный журнал'!C192="+",1,0)))</f>
        <v>0</v>
      </c>
      <c r="B192" s="126">
        <f t="shared" si="32"/>
      </c>
      <c r="C192" s="126">
        <f t="shared" si="33"/>
      </c>
      <c r="D192" s="22">
        <v>4</v>
      </c>
      <c r="E192" s="50" t="str">
        <f>IF('Классный журнал'!E192="","",IF(OR(A192=-1,A192="x"),"",IF(A192=1,'Классный журнал'!E192,'Классный журнал'!E192)))</f>
        <v>Бахметьев Михаил</v>
      </c>
      <c r="F192" s="19">
        <f t="shared" si="34"/>
        <v>9</v>
      </c>
      <c r="G192" s="19">
        <f t="shared" si="35"/>
        <v>27</v>
      </c>
      <c r="H192" s="23">
        <f t="shared" si="36"/>
        <v>3</v>
      </c>
      <c r="I192" s="24">
        <f t="shared" si="37"/>
        <v>15</v>
      </c>
      <c r="J192" s="24">
        <f t="shared" si="38"/>
        <v>16</v>
      </c>
      <c r="K192" s="19">
        <f>IF(E192="","",COUNTIF('Классный журнал'!F192:IV192,5))</f>
        <v>0</v>
      </c>
      <c r="L192" s="19">
        <f>IF(E192="","",COUNTIF('Классный журнал'!F192:IV192,4))</f>
        <v>2</v>
      </c>
      <c r="M192" s="19">
        <f>IF(E192="","",COUNTIF('Классный журнал'!F192:IV192,3))</f>
        <v>5</v>
      </c>
      <c r="N192" s="19">
        <f>IF(E192="","",COUNTIF('Классный журнал'!F192:IV192,2))</f>
        <v>2</v>
      </c>
      <c r="O192" s="19">
        <f>IF(E192="","",COUNTIF('Классный журнал'!F192:IV192,1))</f>
        <v>0</v>
      </c>
      <c r="P192" s="19">
        <f>IF(E192="",0,COUNTIF('Классный журнал'!F192:IV192,"н/б"))</f>
        <v>0</v>
      </c>
      <c r="Q192" s="19">
        <f>IF(E192="",0,COUNTIF('Классный журнал'!F192:IV192,"н/у"))</f>
        <v>0</v>
      </c>
      <c r="R192" s="19">
        <f>IF(E192="",0,COUNTIF('Классный журнал'!F192:IV192,"н"))</f>
        <v>1</v>
      </c>
      <c r="S192" s="19">
        <f t="shared" si="39"/>
        <v>1</v>
      </c>
      <c r="T192" s="49">
        <f t="shared" si="40"/>
        <v>3</v>
      </c>
      <c r="U192" s="41">
        <f t="shared" si="41"/>
        <v>3.1463414634146343</v>
      </c>
    </row>
    <row r="193" spans="1:21" ht="23.25">
      <c r="A193" s="281">
        <f>IF(AND('Классный журнал'!C193="-",'Классный журнал'!D193&lt;=$J$5),-1,IF(AND('Классный журнал'!C193="-",'Классный журнал'!D193&gt;$J$5),"x",IF('Классный журнал'!C193="+",1,0)))</f>
        <v>-1</v>
      </c>
      <c r="B193" s="126">
        <f t="shared" si="32"/>
      </c>
      <c r="C193" s="126">
        <f t="shared" si="33"/>
      </c>
      <c r="D193" s="22">
        <v>5</v>
      </c>
      <c r="E193" s="50">
        <f>IF('Классный журнал'!E193="","",IF(OR(A193=-1,A193="x"),"",IF(A193=1,'Классный журнал'!E193,'Классный журнал'!E193)))</f>
      </c>
      <c r="F193" s="19">
        <f t="shared" si="34"/>
        <v>0</v>
      </c>
      <c r="G193" s="19">
        <f t="shared" si="35"/>
        <v>0</v>
      </c>
      <c r="H193" s="23">
        <f t="shared" si="36"/>
      </c>
      <c r="I193" s="24">
        <f t="shared" si="37"/>
      </c>
      <c r="J193" s="24">
        <f t="shared" si="38"/>
      </c>
      <c r="K193" s="19">
        <f>IF(E193="","",COUNTIF('Классный журнал'!F193:IV193,5))</f>
      </c>
      <c r="L193" s="19">
        <f>IF(E193="","",COUNTIF('Классный журнал'!F193:IV193,4))</f>
      </c>
      <c r="M193" s="19">
        <f>IF(E193="","",COUNTIF('Классный журнал'!F193:IV193,3))</f>
      </c>
      <c r="N193" s="19">
        <f>IF(E193="","",COUNTIF('Классный журнал'!F193:IV193,2))</f>
      </c>
      <c r="O193" s="19">
        <f>IF(E193="","",COUNTIF('Классный журнал'!F193:IV193,1))</f>
      </c>
      <c r="P193" s="19">
        <f>IF(E193="",0,COUNTIF('Классный журнал'!F193:IV193,"н/б"))</f>
        <v>0</v>
      </c>
      <c r="Q193" s="19">
        <f>IF(E193="",0,COUNTIF('Классный журнал'!F193:IV193,"н/у"))</f>
        <v>0</v>
      </c>
      <c r="R193" s="19">
        <f>IF(E193="",0,COUNTIF('Классный журнал'!F193:IV193,"н"))</f>
        <v>0</v>
      </c>
      <c r="S193" s="19">
        <f t="shared" si="39"/>
      </c>
      <c r="T193" s="49">
        <f t="shared" si="40"/>
      </c>
      <c r="U193" s="41">
        <f t="shared" si="41"/>
      </c>
    </row>
    <row r="194" spans="1:21" ht="23.25">
      <c r="A194" s="281">
        <f>IF(AND('Классный журнал'!C194="-",'Классный журнал'!D194&lt;=$J$5),-1,IF(AND('Классный журнал'!C194="-",'Классный журнал'!D194&gt;$J$5),"x",IF('Классный журнал'!C194="+",1,0)))</f>
        <v>0</v>
      </c>
      <c r="B194" s="126">
        <f t="shared" si="32"/>
      </c>
      <c r="C194" s="126">
        <f t="shared" si="33"/>
      </c>
      <c r="D194" s="22">
        <v>6</v>
      </c>
      <c r="E194" s="50" t="str">
        <f>IF('Классный журнал'!E194="","",IF(OR(A194=-1,A194="x"),"",IF(A194=1,'Классный журнал'!E194,'Классный журнал'!E194)))</f>
        <v>Валеев Руслан</v>
      </c>
      <c r="F194" s="19">
        <f t="shared" si="34"/>
        <v>8</v>
      </c>
      <c r="G194" s="19">
        <f t="shared" si="35"/>
        <v>29</v>
      </c>
      <c r="H194" s="23">
        <f t="shared" si="36"/>
        <v>3.625</v>
      </c>
      <c r="I194" s="24">
        <f t="shared" si="37"/>
        <v>9</v>
      </c>
      <c r="J194" s="24">
        <f t="shared" si="38"/>
        <v>11</v>
      </c>
      <c r="K194" s="19">
        <f>IF(E194="","",COUNTIF('Классный журнал'!F194:IV194,5))</f>
        <v>1</v>
      </c>
      <c r="L194" s="19">
        <f>IF(E194="","",COUNTIF('Классный журнал'!F194:IV194,4))</f>
        <v>3</v>
      </c>
      <c r="M194" s="19">
        <f>IF(E194="","",COUNTIF('Классный журнал'!F194:IV194,3))</f>
        <v>4</v>
      </c>
      <c r="N194" s="19">
        <f>IF(E194="","",COUNTIF('Классный журнал'!F194:IV194,2))</f>
        <v>0</v>
      </c>
      <c r="O194" s="19">
        <f>IF(E194="","",COUNTIF('Классный журнал'!F194:IV194,1))</f>
        <v>0</v>
      </c>
      <c r="P194" s="19">
        <f>IF(E194="",0,COUNTIF('Классный журнал'!F194:IV194,"н/б"))</f>
        <v>0</v>
      </c>
      <c r="Q194" s="19">
        <f>IF(E194="",0,COUNTIF('Классный журнал'!F194:IV194,"н/у"))</f>
        <v>0</v>
      </c>
      <c r="R194" s="19">
        <f>IF(E194="",0,COUNTIF('Классный журнал'!F194:IV194,"н"))</f>
        <v>3</v>
      </c>
      <c r="S194" s="19">
        <f t="shared" si="39"/>
        <v>3</v>
      </c>
      <c r="T194" s="49">
        <f t="shared" si="40"/>
        <v>3</v>
      </c>
      <c r="U194" s="41">
        <f t="shared" si="41"/>
        <v>3.4722222222222223</v>
      </c>
    </row>
    <row r="195" spans="1:21" ht="23.25">
      <c r="A195" s="281">
        <f>IF(AND('Классный журнал'!C195="-",'Классный журнал'!D195&lt;=$J$5),-1,IF(AND('Классный журнал'!C195="-",'Классный журнал'!D195&gt;$J$5),"x",IF('Классный журнал'!C195="+",1,0)))</f>
        <v>0</v>
      </c>
      <c r="B195" s="126">
        <f t="shared" si="32"/>
      </c>
      <c r="C195" s="126">
        <f t="shared" si="33"/>
      </c>
      <c r="D195" s="22">
        <v>7</v>
      </c>
      <c r="E195" s="50" t="str">
        <f>IF('Классный журнал'!E195="","",IF(OR(A195=-1,A195="x"),"",IF(A195=1,'Классный журнал'!E195,'Классный журнал'!E195)))</f>
        <v>Власов Владимир</v>
      </c>
      <c r="F195" s="19">
        <f t="shared" si="34"/>
        <v>8</v>
      </c>
      <c r="G195" s="19">
        <f t="shared" si="35"/>
        <v>21</v>
      </c>
      <c r="H195" s="23">
        <f t="shared" si="36"/>
        <v>2.625</v>
      </c>
      <c r="I195" s="24">
        <f t="shared" si="37"/>
        <v>24</v>
      </c>
      <c r="J195" s="24">
        <f t="shared" si="38"/>
        <v>27</v>
      </c>
      <c r="K195" s="19">
        <f>IF(E195="","",COUNTIF('Классный журнал'!F195:IV195,5))</f>
        <v>0</v>
      </c>
      <c r="L195" s="19">
        <f>IF(E195="","",COUNTIF('Классный журнал'!F195:IV195,4))</f>
        <v>0</v>
      </c>
      <c r="M195" s="19">
        <f>IF(E195="","",COUNTIF('Классный журнал'!F195:IV195,3))</f>
        <v>6</v>
      </c>
      <c r="N195" s="19">
        <f>IF(E195="","",COUNTIF('Классный журнал'!F195:IV195,2))</f>
        <v>1</v>
      </c>
      <c r="O195" s="19">
        <f>IF(E195="","",COUNTIF('Классный журнал'!F195:IV195,1))</f>
        <v>1</v>
      </c>
      <c r="P195" s="19">
        <f>IF(E195="",0,COUNTIF('Классный журнал'!F195:IV195,"н/б"))</f>
        <v>0</v>
      </c>
      <c r="Q195" s="19">
        <f>IF(E195="",0,COUNTIF('Классный журнал'!F195:IV195,"н/у"))</f>
        <v>0</v>
      </c>
      <c r="R195" s="19">
        <f>IF(E195="",0,COUNTIF('Классный журнал'!F195:IV195,"н"))</f>
        <v>1</v>
      </c>
      <c r="S195" s="19">
        <f t="shared" si="39"/>
        <v>1</v>
      </c>
      <c r="T195" s="49">
        <f t="shared" si="40"/>
        <v>3</v>
      </c>
      <c r="U195" s="41">
        <f t="shared" si="41"/>
        <v>2.6666666666666665</v>
      </c>
    </row>
    <row r="196" spans="1:21" ht="23.25">
      <c r="A196" s="281">
        <f>IF(AND('Классный журнал'!C196="-",'Классный журнал'!D196&lt;=$J$5),-1,IF(AND('Классный журнал'!C196="-",'Классный журнал'!D196&gt;$J$5),"x",IF('Классный журнал'!C196="+",1,0)))</f>
        <v>0</v>
      </c>
      <c r="B196" s="126" t="str">
        <f t="shared" si="32"/>
        <v>x</v>
      </c>
      <c r="C196" s="126">
        <f t="shared" si="33"/>
      </c>
      <c r="D196" s="22">
        <v>8</v>
      </c>
      <c r="E196" s="50" t="str">
        <f>IF('Классный журнал'!E196="","",IF(OR(A196=-1,A196="x"),"",IF(A196=1,'Классный журнал'!E196,'Классный журнал'!E196)))</f>
        <v>Головина Дарья</v>
      </c>
      <c r="F196" s="19">
        <f t="shared" si="34"/>
        <v>7</v>
      </c>
      <c r="G196" s="19">
        <f t="shared" si="35"/>
        <v>30</v>
      </c>
      <c r="H196" s="23">
        <f t="shared" si="36"/>
        <v>4.285714285714286</v>
      </c>
      <c r="I196" s="24">
        <f t="shared" si="37"/>
        <v>3</v>
      </c>
      <c r="J196" s="24">
        <f t="shared" si="38"/>
        <v>5</v>
      </c>
      <c r="K196" s="19">
        <f>IF(E196="","",COUNTIF('Классный журнал'!F196:IV196,5))</f>
        <v>3</v>
      </c>
      <c r="L196" s="19">
        <f>IF(E196="","",COUNTIF('Классный журнал'!F196:IV196,4))</f>
        <v>3</v>
      </c>
      <c r="M196" s="19">
        <f>IF(E196="","",COUNTIF('Классный журнал'!F196:IV196,3))</f>
        <v>1</v>
      </c>
      <c r="N196" s="19">
        <f>IF(E196="","",COUNTIF('Классный журнал'!F196:IV196,2))</f>
        <v>0</v>
      </c>
      <c r="O196" s="19">
        <f>IF(E196="","",COUNTIF('Классный журнал'!F196:IV196,1))</f>
        <v>0</v>
      </c>
      <c r="P196" s="19">
        <f>IF(E196="",0,COUNTIF('Классный журнал'!F196:IV196,"н/б"))</f>
        <v>0</v>
      </c>
      <c r="Q196" s="19">
        <f>IF(E196="",0,COUNTIF('Классный журнал'!F196:IV196,"н/у"))</f>
        <v>0</v>
      </c>
      <c r="R196" s="19">
        <f>IF(E196="",0,COUNTIF('Классный журнал'!F196:IV196,"н"))</f>
        <v>0</v>
      </c>
      <c r="S196" s="19">
        <f t="shared" si="39"/>
        <v>0</v>
      </c>
      <c r="T196" s="49">
        <f t="shared" si="40"/>
        <v>4</v>
      </c>
      <c r="U196" s="41">
        <f t="shared" si="41"/>
        <v>3.9696969696969697</v>
      </c>
    </row>
    <row r="197" spans="1:21" ht="23.25">
      <c r="A197" s="281">
        <f>IF(AND('Классный журнал'!C197="-",'Классный журнал'!D197&lt;=$J$5),-1,IF(AND('Классный журнал'!C197="-",'Классный журнал'!D197&gt;$J$5),"x",IF('Классный журнал'!C197="+",1,0)))</f>
        <v>-1</v>
      </c>
      <c r="B197" s="126">
        <f t="shared" si="32"/>
      </c>
      <c r="C197" s="126">
        <f t="shared" si="33"/>
      </c>
      <c r="D197" s="22">
        <v>9</v>
      </c>
      <c r="E197" s="50">
        <f>IF('Классный журнал'!E197="","",IF(OR(A197=-1,A197="x"),"",IF(A197=1,'Классный журнал'!E197,'Классный журнал'!E197)))</f>
      </c>
      <c r="F197" s="19">
        <f t="shared" si="34"/>
        <v>0</v>
      </c>
      <c r="G197" s="19">
        <f t="shared" si="35"/>
        <v>0</v>
      </c>
      <c r="H197" s="23">
        <f t="shared" si="36"/>
      </c>
      <c r="I197" s="24">
        <f t="shared" si="37"/>
      </c>
      <c r="J197" s="24">
        <f t="shared" si="38"/>
      </c>
      <c r="K197" s="19">
        <f>IF(E197="","",COUNTIF('Классный журнал'!F197:IV197,5))</f>
      </c>
      <c r="L197" s="19">
        <f>IF(E197="","",COUNTIF('Классный журнал'!F197:IV197,4))</f>
      </c>
      <c r="M197" s="19">
        <f>IF(E197="","",COUNTIF('Классный журнал'!F197:IV197,3))</f>
      </c>
      <c r="N197" s="19">
        <f>IF(E197="","",COUNTIF('Классный журнал'!F197:IV197,2))</f>
      </c>
      <c r="O197" s="19">
        <f>IF(E197="","",COUNTIF('Классный журнал'!F197:IV197,1))</f>
      </c>
      <c r="P197" s="19">
        <f>IF(E197="",0,COUNTIF('Классный журнал'!F197:IV197,"н/б"))</f>
        <v>0</v>
      </c>
      <c r="Q197" s="19">
        <f>IF(E197="",0,COUNTIF('Классный журнал'!F197:IV197,"н/у"))</f>
        <v>0</v>
      </c>
      <c r="R197" s="19">
        <f>IF(E197="",0,COUNTIF('Классный журнал'!F197:IV197,"н"))</f>
        <v>0</v>
      </c>
      <c r="S197" s="19">
        <f t="shared" si="39"/>
      </c>
      <c r="T197" s="49">
        <f t="shared" si="40"/>
      </c>
      <c r="U197" s="41">
        <f t="shared" si="41"/>
      </c>
    </row>
    <row r="198" spans="1:21" ht="23.25">
      <c r="A198" s="281">
        <f>IF(AND('Классный журнал'!C198="-",'Классный журнал'!D198&lt;=$J$5),-1,IF(AND('Классный журнал'!C198="-",'Классный журнал'!D198&gt;$J$5),"x",IF('Классный журнал'!C198="+",1,0)))</f>
        <v>0</v>
      </c>
      <c r="B198" s="126">
        <f t="shared" si="32"/>
      </c>
      <c r="C198" s="126">
        <f t="shared" si="33"/>
      </c>
      <c r="D198" s="22">
        <v>10</v>
      </c>
      <c r="E198" s="50" t="str">
        <f>IF('Классный журнал'!E198="","",IF(OR(A198=-1,A198="x"),"",IF(A198=1,'Классный журнал'!E198,'Классный журнал'!E198)))</f>
        <v>Добрынин Павел</v>
      </c>
      <c r="F198" s="19">
        <f t="shared" si="34"/>
        <v>9</v>
      </c>
      <c r="G198" s="19">
        <f t="shared" si="35"/>
        <v>34</v>
      </c>
      <c r="H198" s="23">
        <f t="shared" si="36"/>
        <v>3.7777777777777777</v>
      </c>
      <c r="I198" s="24">
        <f t="shared" si="37"/>
        <v>8</v>
      </c>
      <c r="J198" s="24">
        <f t="shared" si="38"/>
        <v>7</v>
      </c>
      <c r="K198" s="19">
        <f>IF(E198="","",COUNTIF('Классный журнал'!F198:IV198,5))</f>
        <v>1</v>
      </c>
      <c r="L198" s="19">
        <f>IF(E198="","",COUNTIF('Классный журнал'!F198:IV198,4))</f>
        <v>5</v>
      </c>
      <c r="M198" s="19">
        <f>IF(E198="","",COUNTIF('Классный журнал'!F198:IV198,3))</f>
        <v>3</v>
      </c>
      <c r="N198" s="19">
        <f>IF(E198="","",COUNTIF('Классный журнал'!F198:IV198,2))</f>
        <v>0</v>
      </c>
      <c r="O198" s="19">
        <f>IF(E198="","",COUNTIF('Классный журнал'!F198:IV198,1))</f>
        <v>0</v>
      </c>
      <c r="P198" s="19">
        <f>IF(E198="",0,COUNTIF('Классный журнал'!F198:IV198,"н/б"))</f>
        <v>0</v>
      </c>
      <c r="Q198" s="19">
        <f>IF(E198="",0,COUNTIF('Классный журнал'!F198:IV198,"н/у"))</f>
        <v>0</v>
      </c>
      <c r="R198" s="19">
        <f>IF(E198="",0,COUNTIF('Классный журнал'!F198:IV198,"н"))</f>
        <v>0</v>
      </c>
      <c r="S198" s="19">
        <f t="shared" si="39"/>
        <v>0</v>
      </c>
      <c r="T198" s="49">
        <f t="shared" si="40"/>
        <v>4</v>
      </c>
      <c r="U198" s="41">
        <f t="shared" si="41"/>
        <v>3.6842105263157894</v>
      </c>
    </row>
    <row r="199" spans="1:21" ht="23.25">
      <c r="A199" s="281">
        <f>IF(AND('Классный журнал'!C199="-",'Классный журнал'!D199&lt;=$J$5),-1,IF(AND('Классный журнал'!C199="-",'Классный журнал'!D199&gt;$J$5),"x",IF('Классный журнал'!C199="+",1,0)))</f>
        <v>0</v>
      </c>
      <c r="B199" s="126">
        <f t="shared" si="32"/>
      </c>
      <c r="C199" s="126">
        <f t="shared" si="33"/>
      </c>
      <c r="D199" s="22">
        <v>11</v>
      </c>
      <c r="E199" s="50" t="str">
        <f>IF('Классный журнал'!E199="","",IF(OR(A199=-1,A199="x"),"",IF(A199=1,'Классный журнал'!E199,'Классный журнал'!E199)))</f>
        <v>Жарков Егор</v>
      </c>
      <c r="F199" s="19">
        <f t="shared" si="34"/>
        <v>10</v>
      </c>
      <c r="G199" s="19">
        <f t="shared" si="35"/>
        <v>34</v>
      </c>
      <c r="H199" s="23">
        <f t="shared" si="36"/>
        <v>3.4</v>
      </c>
      <c r="I199" s="24">
        <f t="shared" si="37"/>
        <v>10</v>
      </c>
      <c r="J199" s="24">
        <f t="shared" si="38"/>
        <v>10</v>
      </c>
      <c r="K199" s="19">
        <f>IF(E199="","",COUNTIF('Классный журнал'!F199:IV199,5))</f>
        <v>0</v>
      </c>
      <c r="L199" s="19">
        <f>IF(E199="","",COUNTIF('Классный журнал'!F199:IV199,4))</f>
        <v>4</v>
      </c>
      <c r="M199" s="19">
        <f>IF(E199="","",COUNTIF('Классный журнал'!F199:IV199,3))</f>
        <v>6</v>
      </c>
      <c r="N199" s="19">
        <f>IF(E199="","",COUNTIF('Классный журнал'!F199:IV199,2))</f>
        <v>0</v>
      </c>
      <c r="O199" s="19">
        <f>IF(E199="","",COUNTIF('Классный журнал'!F199:IV199,1))</f>
        <v>0</v>
      </c>
      <c r="P199" s="19">
        <f>IF(E199="",0,COUNTIF('Классный журнал'!F199:IV199,"н/б"))</f>
        <v>0</v>
      </c>
      <c r="Q199" s="19">
        <f>IF(E199="",0,COUNTIF('Классный журнал'!F199:IV199,"н/у"))</f>
        <v>0</v>
      </c>
      <c r="R199" s="19">
        <f>IF(E199="",0,COUNTIF('Классный журнал'!F199:IV199,"н"))</f>
        <v>0</v>
      </c>
      <c r="S199" s="19">
        <f t="shared" si="39"/>
        <v>0</v>
      </c>
      <c r="T199" s="49">
        <f t="shared" si="40"/>
        <v>3</v>
      </c>
      <c r="U199" s="41">
        <f t="shared" si="41"/>
        <v>3.5</v>
      </c>
    </row>
    <row r="200" spans="1:21" ht="23.25">
      <c r="A200" s="281">
        <f>IF(AND('Классный журнал'!C200="-",'Классный журнал'!D200&lt;=$J$5),-1,IF(AND('Классный журнал'!C200="-",'Классный журнал'!D200&gt;$J$5),"x",IF('Классный журнал'!C200="+",1,0)))</f>
        <v>0</v>
      </c>
      <c r="B200" s="126">
        <f t="shared" si="32"/>
      </c>
      <c r="C200" s="126">
        <f t="shared" si="33"/>
      </c>
      <c r="D200" s="22">
        <v>12</v>
      </c>
      <c r="E200" s="50" t="str">
        <f>IF('Классный журнал'!E200="","",IF(OR(A200=-1,A200="x"),"",IF(A200=1,'Классный журнал'!E200,'Классный журнал'!E200)))</f>
        <v>Заева Владлена</v>
      </c>
      <c r="F200" s="19">
        <f t="shared" si="34"/>
        <v>8</v>
      </c>
      <c r="G200" s="19">
        <f t="shared" si="35"/>
        <v>32</v>
      </c>
      <c r="H200" s="23">
        <f t="shared" si="36"/>
        <v>4</v>
      </c>
      <c r="I200" s="24">
        <f t="shared" si="37"/>
        <v>6</v>
      </c>
      <c r="J200" s="24">
        <f t="shared" si="38"/>
        <v>6</v>
      </c>
      <c r="K200" s="19">
        <f>IF(E200="","",COUNTIF('Классный журнал'!F200:IV200,5))</f>
        <v>2</v>
      </c>
      <c r="L200" s="19">
        <f>IF(E200="","",COUNTIF('Классный журнал'!F200:IV200,4))</f>
        <v>4</v>
      </c>
      <c r="M200" s="19">
        <f>IF(E200="","",COUNTIF('Классный журнал'!F200:IV200,3))</f>
        <v>2</v>
      </c>
      <c r="N200" s="19">
        <f>IF(E200="","",COUNTIF('Классный журнал'!F200:IV200,2))</f>
        <v>0</v>
      </c>
      <c r="O200" s="19">
        <f>IF(E200="","",COUNTIF('Классный журнал'!F200:IV200,1))</f>
        <v>0</v>
      </c>
      <c r="P200" s="19">
        <f>IF(E200="",0,COUNTIF('Классный журнал'!F200:IV200,"н/б"))</f>
        <v>0</v>
      </c>
      <c r="Q200" s="19">
        <f>IF(E200="",0,COUNTIF('Классный журнал'!F200:IV200,"н/у"))</f>
        <v>0</v>
      </c>
      <c r="R200" s="19">
        <f>IF(E200="",0,COUNTIF('Классный журнал'!F200:IV200,"н"))</f>
        <v>0</v>
      </c>
      <c r="S200" s="19">
        <f t="shared" si="39"/>
        <v>0</v>
      </c>
      <c r="T200" s="49">
        <f t="shared" si="40"/>
        <v>4</v>
      </c>
      <c r="U200" s="41">
        <f t="shared" si="41"/>
        <v>3.6944444444444446</v>
      </c>
    </row>
    <row r="201" spans="1:21" ht="23.25">
      <c r="A201" s="281">
        <f>IF(AND('Классный журнал'!C201="-",'Классный журнал'!D201&lt;=$J$5),-1,IF(AND('Классный журнал'!C201="-",'Классный журнал'!D201&gt;$J$5),"x",IF('Классный журнал'!C201="+",1,0)))</f>
        <v>0</v>
      </c>
      <c r="B201" s="126" t="str">
        <f t="shared" si="32"/>
        <v>XX</v>
      </c>
      <c r="C201" s="126">
        <f t="shared" si="33"/>
      </c>
      <c r="D201" s="22">
        <v>13</v>
      </c>
      <c r="E201" s="50" t="str">
        <f>IF('Классный журнал'!E201="","",IF(OR(A201=-1,A201="x"),"",IF(A201=1,'Классный журнал'!E201,'Классный журнал'!E201)))</f>
        <v>Игошева Анастасия</v>
      </c>
      <c r="F201" s="19">
        <f t="shared" si="34"/>
        <v>6</v>
      </c>
      <c r="G201" s="19">
        <f t="shared" si="35"/>
        <v>18</v>
      </c>
      <c r="H201" s="23">
        <f t="shared" si="36"/>
        <v>3</v>
      </c>
      <c r="I201" s="24">
        <f t="shared" si="37"/>
        <v>15</v>
      </c>
      <c r="J201" s="24">
        <f t="shared" si="38"/>
        <v>17</v>
      </c>
      <c r="K201" s="19">
        <f>IF(E201="","",COUNTIF('Классный журнал'!F201:IV201,5))</f>
        <v>0</v>
      </c>
      <c r="L201" s="19">
        <f>IF(E201="","",COUNTIF('Классный журнал'!F201:IV201,4))</f>
        <v>2</v>
      </c>
      <c r="M201" s="19">
        <f>IF(E201="","",COUNTIF('Классный журнал'!F201:IV201,3))</f>
        <v>2</v>
      </c>
      <c r="N201" s="19">
        <f>IF(E201="","",COUNTIF('Классный журнал'!F201:IV201,2))</f>
        <v>2</v>
      </c>
      <c r="O201" s="19">
        <f>IF(E201="","",COUNTIF('Классный журнал'!F201:IV201,1))</f>
        <v>0</v>
      </c>
      <c r="P201" s="19">
        <f>IF(E201="",0,COUNTIF('Классный журнал'!F201:IV201,"н/б"))</f>
        <v>1</v>
      </c>
      <c r="Q201" s="19">
        <f>IF(E201="",0,COUNTIF('Классный журнал'!F201:IV201,"н/у"))</f>
        <v>0</v>
      </c>
      <c r="R201" s="19">
        <f>IF(E201="",0,COUNTIF('Классный журнал'!F201:IV201,"н"))</f>
        <v>2</v>
      </c>
      <c r="S201" s="19">
        <f t="shared" si="39"/>
        <v>3</v>
      </c>
      <c r="T201" s="49">
        <f t="shared" si="40"/>
        <v>3</v>
      </c>
      <c r="U201" s="41">
        <f t="shared" si="41"/>
        <v>3.103448275862069</v>
      </c>
    </row>
    <row r="202" spans="1:21" ht="23.25">
      <c r="A202" s="281">
        <f>IF(AND('Классный журнал'!C202="-",'Классный журнал'!D202&lt;=$J$5),-1,IF(AND('Классный журнал'!C202="-",'Классный журнал'!D202&gt;$J$5),"x",IF('Классный журнал'!C202="+",1,0)))</f>
        <v>0</v>
      </c>
      <c r="B202" s="126" t="str">
        <f t="shared" si="32"/>
        <v>x</v>
      </c>
      <c r="C202" s="126" t="str">
        <f t="shared" si="33"/>
        <v>!</v>
      </c>
      <c r="D202" s="22">
        <v>14</v>
      </c>
      <c r="E202" s="50" t="str">
        <f>IF('Классный журнал'!E202="","",IF(OR(A202=-1,A202="x"),"",IF(A202=1,'Классный журнал'!E202,'Классный журнал'!E202)))</f>
        <v>Казанцев Андрей</v>
      </c>
      <c r="F202" s="19">
        <f t="shared" si="34"/>
        <v>7</v>
      </c>
      <c r="G202" s="19">
        <f t="shared" si="35"/>
        <v>16</v>
      </c>
      <c r="H202" s="23">
        <f t="shared" si="36"/>
        <v>2.2857142857142856</v>
      </c>
      <c r="I202" s="24">
        <f t="shared" si="37"/>
        <v>30</v>
      </c>
      <c r="J202" s="24">
        <f t="shared" si="38"/>
        <v>30</v>
      </c>
      <c r="K202" s="19">
        <f>IF(E202="","",COUNTIF('Классный журнал'!F202:IV202,5))</f>
        <v>0</v>
      </c>
      <c r="L202" s="19">
        <f>IF(E202="","",COUNTIF('Классный журнал'!F202:IV202,4))</f>
        <v>0</v>
      </c>
      <c r="M202" s="19">
        <f>IF(E202="","",COUNTIF('Классный журнал'!F202:IV202,3))</f>
        <v>4</v>
      </c>
      <c r="N202" s="19">
        <f>IF(E202="","",COUNTIF('Классный журнал'!F202:IV202,2))</f>
        <v>1</v>
      </c>
      <c r="O202" s="19">
        <f>IF(E202="","",COUNTIF('Классный журнал'!F202:IV202,1))</f>
        <v>2</v>
      </c>
      <c r="P202" s="19">
        <f>IF(E202="",0,COUNTIF('Классный журнал'!F202:IV202,"н/б"))</f>
        <v>0</v>
      </c>
      <c r="Q202" s="19">
        <f>IF(E202="",0,COUNTIF('Классный журнал'!F202:IV202,"н/у"))</f>
        <v>0</v>
      </c>
      <c r="R202" s="19">
        <f>IF(E202="",0,COUNTIF('Классный журнал'!F202:IV202,"н"))</f>
        <v>3</v>
      </c>
      <c r="S202" s="19">
        <f t="shared" si="39"/>
        <v>3</v>
      </c>
      <c r="T202" s="49">
        <f t="shared" si="40"/>
        <v>2</v>
      </c>
      <c r="U202" s="41">
        <f t="shared" si="41"/>
        <v>2.484848484848485</v>
      </c>
    </row>
    <row r="203" spans="1:21" ht="23.25">
      <c r="A203" s="281">
        <f>IF(AND('Классный журнал'!C203="-",'Классный журнал'!D203&lt;=$J$5),-1,IF(AND('Классный журнал'!C203="-",'Классный журнал'!D203&gt;$J$5),"x",IF('Классный журнал'!C203="+",1,0)))</f>
        <v>0</v>
      </c>
      <c r="B203" s="126">
        <f t="shared" si="32"/>
      </c>
      <c r="C203" s="126">
        <f t="shared" si="33"/>
      </c>
      <c r="D203" s="22">
        <v>15</v>
      </c>
      <c r="E203" s="50" t="str">
        <f>IF('Классный журнал'!E203="","",IF(OR(A203=-1,A203="x"),"",IF(A203=1,'Классный журнал'!E203,'Классный журнал'!E203)))</f>
        <v>Кравченко Кристина</v>
      </c>
      <c r="F203" s="19">
        <f t="shared" si="34"/>
        <v>10</v>
      </c>
      <c r="G203" s="19">
        <f t="shared" si="35"/>
        <v>44</v>
      </c>
      <c r="H203" s="23">
        <f t="shared" si="36"/>
        <v>4.4</v>
      </c>
      <c r="I203" s="24">
        <f t="shared" si="37"/>
        <v>1</v>
      </c>
      <c r="J203" s="24">
        <f t="shared" si="38"/>
        <v>1</v>
      </c>
      <c r="K203" s="19">
        <f>IF(E203="","",COUNTIF('Классный журнал'!F203:IV203,5))</f>
        <v>4</v>
      </c>
      <c r="L203" s="19">
        <f>IF(E203="","",COUNTIF('Классный журнал'!F203:IV203,4))</f>
        <v>6</v>
      </c>
      <c r="M203" s="19">
        <f>IF(E203="","",COUNTIF('Классный журнал'!F203:IV203,3))</f>
        <v>0</v>
      </c>
      <c r="N203" s="19">
        <f>IF(E203="","",COUNTIF('Классный журнал'!F203:IV203,2))</f>
        <v>0</v>
      </c>
      <c r="O203" s="19">
        <f>IF(E203="","",COUNTIF('Классный журнал'!F203:IV203,1))</f>
        <v>0</v>
      </c>
      <c r="P203" s="19">
        <f>IF(E203="",0,COUNTIF('Классный журнал'!F203:IV203,"н/б"))</f>
        <v>0</v>
      </c>
      <c r="Q203" s="19">
        <f>IF(E203="",0,COUNTIF('Классный журнал'!F203:IV203,"н/у"))</f>
        <v>0</v>
      </c>
      <c r="R203" s="19">
        <f>IF(E203="",0,COUNTIF('Классный журнал'!F203:IV203,"н"))</f>
        <v>0</v>
      </c>
      <c r="S203" s="19">
        <f t="shared" si="39"/>
        <v>0</v>
      </c>
      <c r="T203" s="49">
        <f t="shared" si="40"/>
        <v>4</v>
      </c>
      <c r="U203" s="41">
        <f t="shared" si="41"/>
        <v>4.675</v>
      </c>
    </row>
    <row r="204" spans="1:21" ht="23.25">
      <c r="A204" s="281">
        <f>IF(AND('Классный журнал'!C204="-",'Классный журнал'!D204&lt;=$J$5),-1,IF(AND('Классный журнал'!C204="-",'Классный журнал'!D204&gt;$J$5),"x",IF('Классный журнал'!C204="+",1,0)))</f>
        <v>0</v>
      </c>
      <c r="B204" s="126" t="str">
        <f t="shared" si="32"/>
        <v>x</v>
      </c>
      <c r="C204" s="126">
        <f t="shared" si="33"/>
      </c>
      <c r="D204" s="22">
        <v>16</v>
      </c>
      <c r="E204" s="50" t="str">
        <f>IF('Классный журнал'!E204="","",IF(OR(A204=-1,A204="x"),"",IF(A204=1,'Классный журнал'!E204,'Классный журнал'!E204)))</f>
        <v>Кротков Александр</v>
      </c>
      <c r="F204" s="19">
        <f t="shared" si="34"/>
        <v>7</v>
      </c>
      <c r="G204" s="19">
        <f t="shared" si="35"/>
        <v>20</v>
      </c>
      <c r="H204" s="23">
        <f t="shared" si="36"/>
        <v>2.857142857142857</v>
      </c>
      <c r="I204" s="24">
        <f t="shared" si="37"/>
        <v>20</v>
      </c>
      <c r="J204" s="24">
        <f t="shared" si="38"/>
        <v>19</v>
      </c>
      <c r="K204" s="19">
        <f>IF(E204="","",COUNTIF('Классный журнал'!F204:IV204,5))</f>
        <v>0</v>
      </c>
      <c r="L204" s="19">
        <f>IF(E204="","",COUNTIF('Классный журнал'!F204:IV204,4))</f>
        <v>0</v>
      </c>
      <c r="M204" s="19">
        <f>IF(E204="","",COUNTIF('Классный журнал'!F204:IV204,3))</f>
        <v>6</v>
      </c>
      <c r="N204" s="19">
        <f>IF(E204="","",COUNTIF('Классный журнал'!F204:IV204,2))</f>
        <v>1</v>
      </c>
      <c r="O204" s="19">
        <f>IF(E204="","",COUNTIF('Классный журнал'!F204:IV204,1))</f>
        <v>0</v>
      </c>
      <c r="P204" s="19">
        <f>IF(E204="",0,COUNTIF('Классный журнал'!F204:IV204,"н/б"))</f>
        <v>0</v>
      </c>
      <c r="Q204" s="19">
        <f>IF(E204="",0,COUNTIF('Классный журнал'!F204:IV204,"н/у"))</f>
        <v>2</v>
      </c>
      <c r="R204" s="19">
        <f>IF(E204="",0,COUNTIF('Классный журнал'!F204:IV204,"н"))</f>
        <v>0</v>
      </c>
      <c r="S204" s="19">
        <f t="shared" si="39"/>
        <v>2</v>
      </c>
      <c r="T204" s="49">
        <f t="shared" si="40"/>
        <v>3</v>
      </c>
      <c r="U204" s="41">
        <f t="shared" si="41"/>
        <v>2.96875</v>
      </c>
    </row>
    <row r="205" spans="1:21" ht="23.25">
      <c r="A205" s="281">
        <f>IF(AND('Классный журнал'!C205="-",'Классный журнал'!D205&lt;=$J$5),-1,IF(AND('Классный журнал'!C205="-",'Классный журнал'!D205&gt;$J$5),"x",IF('Классный журнал'!C205="+",1,0)))</f>
        <v>0</v>
      </c>
      <c r="B205" s="126">
        <f t="shared" si="32"/>
      </c>
      <c r="C205" s="126">
        <f t="shared" si="33"/>
      </c>
      <c r="D205" s="22">
        <v>17</v>
      </c>
      <c r="E205" s="50" t="str">
        <f>IF('Классный журнал'!E205="","",IF(OR(A205=-1,A205="x"),"",IF(A205=1,'Классный журнал'!E205,'Классный журнал'!E205)))</f>
        <v>Кузнецова Екатерина</v>
      </c>
      <c r="F205" s="19">
        <f t="shared" si="34"/>
        <v>8</v>
      </c>
      <c r="G205" s="19">
        <f t="shared" si="35"/>
        <v>31</v>
      </c>
      <c r="H205" s="23">
        <f t="shared" si="36"/>
        <v>3.875</v>
      </c>
      <c r="I205" s="24">
        <f t="shared" si="37"/>
        <v>7</v>
      </c>
      <c r="J205" s="24">
        <f t="shared" si="38"/>
        <v>4</v>
      </c>
      <c r="K205" s="19">
        <f>IF(E205="","",COUNTIF('Классный журнал'!F205:IV205,5))</f>
        <v>1</v>
      </c>
      <c r="L205" s="19">
        <f>IF(E205="","",COUNTIF('Классный журнал'!F205:IV205,4))</f>
        <v>5</v>
      </c>
      <c r="M205" s="19">
        <f>IF(E205="","",COUNTIF('Классный журнал'!F205:IV205,3))</f>
        <v>2</v>
      </c>
      <c r="N205" s="19">
        <f>IF(E205="","",COUNTIF('Классный журнал'!F205:IV205,2))</f>
        <v>0</v>
      </c>
      <c r="O205" s="19">
        <f>IF(E205="","",COUNTIF('Классный журнал'!F205:IV205,1))</f>
        <v>0</v>
      </c>
      <c r="P205" s="19">
        <f>IF(E205="",0,COUNTIF('Классный журнал'!F205:IV205,"н/б"))</f>
        <v>0</v>
      </c>
      <c r="Q205" s="19">
        <f>IF(E205="",0,COUNTIF('Классный журнал'!F205:IV205,"н/у"))</f>
        <v>0</v>
      </c>
      <c r="R205" s="19">
        <f>IF(E205="",0,COUNTIF('Классный журнал'!F205:IV205,"н"))</f>
        <v>1</v>
      </c>
      <c r="S205" s="19">
        <f t="shared" si="39"/>
        <v>1</v>
      </c>
      <c r="T205" s="49">
        <f t="shared" si="40"/>
        <v>4</v>
      </c>
      <c r="U205" s="41">
        <f t="shared" si="41"/>
        <v>4</v>
      </c>
    </row>
    <row r="206" spans="1:21" ht="23.25">
      <c r="A206" s="281">
        <f>IF(AND('Классный журнал'!C206="-",'Классный журнал'!D206&lt;=$J$5),-1,IF(AND('Классный журнал'!C206="-",'Классный журнал'!D206&gt;$J$5),"x",IF('Классный журнал'!C206="+",1,0)))</f>
        <v>0</v>
      </c>
      <c r="B206" s="126" t="str">
        <f t="shared" si="32"/>
        <v>x</v>
      </c>
      <c r="C206" s="126">
        <f t="shared" si="33"/>
      </c>
      <c r="D206" s="22">
        <v>18</v>
      </c>
      <c r="E206" s="50" t="str">
        <f>IF('Классный журнал'!E206="","",IF(OR(A206=-1,A206="x"),"",IF(A206=1,'Классный журнал'!E206,'Классный журнал'!E206)))</f>
        <v>Курило Павел</v>
      </c>
      <c r="F206" s="19">
        <f t="shared" si="34"/>
        <v>7</v>
      </c>
      <c r="G206" s="19">
        <f t="shared" si="35"/>
        <v>18</v>
      </c>
      <c r="H206" s="23">
        <f t="shared" si="36"/>
        <v>2.5714285714285716</v>
      </c>
      <c r="I206" s="24">
        <f t="shared" si="37"/>
        <v>25</v>
      </c>
      <c r="J206" s="24">
        <f t="shared" si="38"/>
        <v>25</v>
      </c>
      <c r="K206" s="19">
        <f>IF(E206="","",COUNTIF('Классный журнал'!F206:IV206,5))</f>
        <v>0</v>
      </c>
      <c r="L206" s="19">
        <f>IF(E206="","",COUNTIF('Классный журнал'!F206:IV206,4))</f>
        <v>0</v>
      </c>
      <c r="M206" s="19">
        <f>IF(E206="","",COUNTIF('Классный журнал'!F206:IV206,3))</f>
        <v>4</v>
      </c>
      <c r="N206" s="19">
        <f>IF(E206="","",COUNTIF('Классный журнал'!F206:IV206,2))</f>
        <v>3</v>
      </c>
      <c r="O206" s="19">
        <f>IF(E206="","",COUNTIF('Классный журнал'!F206:IV206,1))</f>
        <v>0</v>
      </c>
      <c r="P206" s="19">
        <f>IF(E206="",0,COUNTIF('Классный журнал'!F206:IV206,"н/б"))</f>
        <v>1</v>
      </c>
      <c r="Q206" s="19">
        <f>IF(E206="",0,COUNTIF('Классный журнал'!F206:IV206,"н/у"))</f>
        <v>0</v>
      </c>
      <c r="R206" s="19">
        <f>IF(E206="",0,COUNTIF('Классный журнал'!F206:IV206,"н"))</f>
        <v>2</v>
      </c>
      <c r="S206" s="19">
        <f t="shared" si="39"/>
        <v>3</v>
      </c>
      <c r="T206" s="49">
        <f t="shared" si="40"/>
        <v>3</v>
      </c>
      <c r="U206" s="41">
        <f t="shared" si="41"/>
        <v>2.84375</v>
      </c>
    </row>
    <row r="207" spans="1:21" ht="23.25">
      <c r="A207" s="281">
        <f>IF(AND('Классный журнал'!C207="-",'Классный журнал'!D207&lt;=$J$5),-1,IF(AND('Классный журнал'!C207="-",'Классный журнал'!D207&gt;$J$5),"x",IF('Классный журнал'!C207="+",1,0)))</f>
        <v>0</v>
      </c>
      <c r="B207" s="126" t="str">
        <f t="shared" si="32"/>
        <v>x</v>
      </c>
      <c r="C207" s="126" t="str">
        <f t="shared" si="33"/>
        <v>!</v>
      </c>
      <c r="D207" s="22">
        <v>19</v>
      </c>
      <c r="E207" s="50" t="str">
        <f>IF('Классный журнал'!E207="","",IF(OR(A207=-1,A207="x"),"",IF(A207=1,'Классный журнал'!E207,'Классный журнал'!E207)))</f>
        <v>Максимкина Татьяна</v>
      </c>
      <c r="F207" s="19">
        <f t="shared" si="34"/>
        <v>7</v>
      </c>
      <c r="G207" s="19">
        <f t="shared" si="35"/>
        <v>15</v>
      </c>
      <c r="H207" s="23">
        <f t="shared" si="36"/>
        <v>2.142857142857143</v>
      </c>
      <c r="I207" s="24">
        <f t="shared" si="37"/>
        <v>31</v>
      </c>
      <c r="J207" s="24">
        <f t="shared" si="38"/>
        <v>31</v>
      </c>
      <c r="K207" s="19">
        <f>IF(E207="","",COUNTIF('Классный журнал'!F207:IV207,5))</f>
        <v>0</v>
      </c>
      <c r="L207" s="19">
        <f>IF(E207="","",COUNTIF('Классный журнал'!F207:IV207,4))</f>
        <v>0</v>
      </c>
      <c r="M207" s="19">
        <f>IF(E207="","",COUNTIF('Классный журнал'!F207:IV207,3))</f>
        <v>1</v>
      </c>
      <c r="N207" s="19">
        <f>IF(E207="","",COUNTIF('Классный журнал'!F207:IV207,2))</f>
        <v>6</v>
      </c>
      <c r="O207" s="19">
        <f>IF(E207="","",COUNTIF('Классный журнал'!F207:IV207,1))</f>
        <v>0</v>
      </c>
      <c r="P207" s="19">
        <f>IF(E207="",0,COUNTIF('Классный журнал'!F207:IV207,"н/б"))</f>
        <v>0</v>
      </c>
      <c r="Q207" s="19">
        <f>IF(E207="",0,COUNTIF('Классный журнал'!F207:IV207,"н/у"))</f>
        <v>0</v>
      </c>
      <c r="R207" s="19">
        <f>IF(E207="",0,COUNTIF('Классный журнал'!F207:IV207,"н"))</f>
        <v>3</v>
      </c>
      <c r="S207" s="19">
        <f t="shared" si="39"/>
        <v>3</v>
      </c>
      <c r="T207" s="49">
        <f t="shared" si="40"/>
        <v>2</v>
      </c>
      <c r="U207" s="41">
        <f t="shared" si="41"/>
        <v>2.2333333333333334</v>
      </c>
    </row>
    <row r="208" spans="1:21" ht="23.25">
      <c r="A208" s="281">
        <f>IF(AND('Классный журнал'!C208="-",'Классный журнал'!D208&lt;=$J$5),-1,IF(AND('Классный журнал'!C208="-",'Классный журнал'!D208&gt;$J$5),"x",IF('Классный журнал'!C208="+",1,0)))</f>
        <v>0</v>
      </c>
      <c r="B208" s="126" t="str">
        <f t="shared" si="32"/>
        <v>x</v>
      </c>
      <c r="C208" s="126">
        <f t="shared" si="33"/>
      </c>
      <c r="D208" s="22">
        <v>20</v>
      </c>
      <c r="E208" s="50" t="str">
        <f>IF('Классный журнал'!E208="","",IF(OR(A208=-1,A208="x"),"",IF(A208=1,'Классный журнал'!E208,'Классный журнал'!E208)))</f>
        <v>Малахова Ксения</v>
      </c>
      <c r="F208" s="19">
        <f t="shared" si="34"/>
        <v>7</v>
      </c>
      <c r="G208" s="19">
        <f t="shared" si="35"/>
        <v>19</v>
      </c>
      <c r="H208" s="23">
        <f t="shared" si="36"/>
        <v>2.7142857142857144</v>
      </c>
      <c r="I208" s="24">
        <f t="shared" si="37"/>
        <v>22</v>
      </c>
      <c r="J208" s="24">
        <f t="shared" si="38"/>
        <v>24</v>
      </c>
      <c r="K208" s="19">
        <f>IF(E208="","",COUNTIF('Классный журнал'!F208:IV208,5))</f>
        <v>0</v>
      </c>
      <c r="L208" s="19">
        <f>IF(E208="","",COUNTIF('Классный журнал'!F208:IV208,4))</f>
        <v>0</v>
      </c>
      <c r="M208" s="19">
        <f>IF(E208="","",COUNTIF('Классный журнал'!F208:IV208,3))</f>
        <v>5</v>
      </c>
      <c r="N208" s="19">
        <f>IF(E208="","",COUNTIF('Классный журнал'!F208:IV208,2))</f>
        <v>2</v>
      </c>
      <c r="O208" s="19">
        <f>IF(E208="","",COUNTIF('Классный журнал'!F208:IV208,1))</f>
        <v>0</v>
      </c>
      <c r="P208" s="19">
        <f>IF(E208="",0,COUNTIF('Классный журнал'!F208:IV208,"н/б"))</f>
        <v>1</v>
      </c>
      <c r="Q208" s="19">
        <f>IF(E208="",0,COUNTIF('Классный журнал'!F208:IV208,"н/у"))</f>
        <v>0</v>
      </c>
      <c r="R208" s="19">
        <f>IF(E208="",0,COUNTIF('Классный журнал'!F208:IV208,"н"))</f>
        <v>1</v>
      </c>
      <c r="S208" s="19">
        <f t="shared" si="39"/>
        <v>2</v>
      </c>
      <c r="T208" s="49">
        <f t="shared" si="40"/>
        <v>3</v>
      </c>
      <c r="U208" s="41">
        <f t="shared" si="41"/>
        <v>2.8484848484848486</v>
      </c>
    </row>
    <row r="209" spans="1:21" ht="23.25">
      <c r="A209" s="281">
        <f>IF(AND('Классный журнал'!C209="-",'Классный журнал'!D209&lt;=$J$5),-1,IF(AND('Классный журнал'!C209="-",'Классный журнал'!D209&gt;$J$5),"x",IF('Классный журнал'!C209="+",1,0)))</f>
        <v>0</v>
      </c>
      <c r="B209" s="126">
        <f t="shared" si="32"/>
      </c>
      <c r="C209" s="126" t="str">
        <f t="shared" si="33"/>
        <v>!</v>
      </c>
      <c r="D209" s="22">
        <v>21</v>
      </c>
      <c r="E209" s="50" t="str">
        <f>IF('Классный журнал'!E209="","",IF(OR(A209=-1,A209="x"),"",IF(A209=1,'Классный журнал'!E209,'Классный журнал'!E209)))</f>
        <v>Марсуверских Михаил</v>
      </c>
      <c r="F209" s="19">
        <f t="shared" si="34"/>
        <v>10</v>
      </c>
      <c r="G209" s="19">
        <f t="shared" si="35"/>
        <v>24</v>
      </c>
      <c r="H209" s="23">
        <f t="shared" si="36"/>
        <v>2.4</v>
      </c>
      <c r="I209" s="24">
        <f t="shared" si="37"/>
        <v>29</v>
      </c>
      <c r="J209" s="24">
        <f t="shared" si="38"/>
        <v>29</v>
      </c>
      <c r="K209" s="19">
        <f>IF(E209="","",COUNTIF('Классный журнал'!F209:IV209,5))</f>
        <v>0</v>
      </c>
      <c r="L209" s="19">
        <f>IF(E209="","",COUNTIF('Классный журнал'!F209:IV209,4))</f>
        <v>0</v>
      </c>
      <c r="M209" s="19">
        <f>IF(E209="","",COUNTIF('Классный журнал'!F209:IV209,3))</f>
        <v>5</v>
      </c>
      <c r="N209" s="19">
        <f>IF(E209="","",COUNTIF('Классный журнал'!F209:IV209,2))</f>
        <v>4</v>
      </c>
      <c r="O209" s="19">
        <f>IF(E209="","",COUNTIF('Классный журнал'!F209:IV209,1))</f>
        <v>1</v>
      </c>
      <c r="P209" s="19">
        <f>IF(E209="",0,COUNTIF('Классный журнал'!F209:IV209,"н/б"))</f>
        <v>0</v>
      </c>
      <c r="Q209" s="19">
        <f>IF(E209="",0,COUNTIF('Классный журнал'!F209:IV209,"н/у"))</f>
        <v>0</v>
      </c>
      <c r="R209" s="19">
        <f>IF(E209="",0,COUNTIF('Классный журнал'!F209:IV209,"н"))</f>
        <v>0</v>
      </c>
      <c r="S209" s="19">
        <f t="shared" si="39"/>
        <v>0</v>
      </c>
      <c r="T209" s="49">
        <f t="shared" si="40"/>
        <v>2</v>
      </c>
      <c r="U209" s="41">
        <f t="shared" si="41"/>
        <v>2.5609756097560976</v>
      </c>
    </row>
    <row r="210" spans="1:21" ht="23.25">
      <c r="A210" s="281">
        <f>IF(AND('Классный журнал'!C210="-",'Классный журнал'!D210&lt;=$J$5),-1,IF(AND('Классный журнал'!C210="-",'Классный журнал'!D210&gt;$J$5),"x",IF('Классный журнал'!C210="+",1,0)))</f>
        <v>0</v>
      </c>
      <c r="B210" s="126" t="str">
        <f t="shared" si="32"/>
        <v>x</v>
      </c>
      <c r="C210" s="126">
        <f t="shared" si="33"/>
      </c>
      <c r="D210" s="22">
        <v>22</v>
      </c>
      <c r="E210" s="50" t="str">
        <f>IF('Классный журнал'!E210="","",IF(OR(A210=-1,A210="x"),"",IF(A210=1,'Классный журнал'!E210,'Классный журнал'!E210)))</f>
        <v>Никифоров Алексей</v>
      </c>
      <c r="F210" s="19">
        <f t="shared" si="34"/>
        <v>7</v>
      </c>
      <c r="G210" s="19">
        <f t="shared" si="35"/>
        <v>23</v>
      </c>
      <c r="H210" s="23">
        <f t="shared" si="36"/>
        <v>3.2857142857142856</v>
      </c>
      <c r="I210" s="24">
        <f t="shared" si="37"/>
        <v>12</v>
      </c>
      <c r="J210" s="24">
        <f t="shared" si="38"/>
        <v>8</v>
      </c>
      <c r="K210" s="19">
        <f>IF(E210="","",COUNTIF('Классный журнал'!F210:IV210,5))</f>
        <v>1</v>
      </c>
      <c r="L210" s="19">
        <f>IF(E210="","",COUNTIF('Классный журнал'!F210:IV210,4))</f>
        <v>2</v>
      </c>
      <c r="M210" s="19">
        <f>IF(E210="","",COUNTIF('Классный журнал'!F210:IV210,3))</f>
        <v>2</v>
      </c>
      <c r="N210" s="19">
        <f>IF(E210="","",COUNTIF('Классный журнал'!F210:IV210,2))</f>
        <v>2</v>
      </c>
      <c r="O210" s="19">
        <f>IF(E210="","",COUNTIF('Классный журнал'!F210:IV210,1))</f>
        <v>0</v>
      </c>
      <c r="P210" s="19">
        <f>IF(E210="",0,COUNTIF('Классный журнал'!F210:IV210,"н/б"))</f>
        <v>0</v>
      </c>
      <c r="Q210" s="19">
        <f>IF(E210="",0,COUNTIF('Классный журнал'!F210:IV210,"н/у"))</f>
        <v>3</v>
      </c>
      <c r="R210" s="19">
        <f>IF(E210="",0,COUNTIF('Классный журнал'!F210:IV210,"н"))</f>
        <v>0</v>
      </c>
      <c r="S210" s="19">
        <f t="shared" si="39"/>
        <v>3</v>
      </c>
      <c r="T210" s="49">
        <f t="shared" si="40"/>
        <v>3</v>
      </c>
      <c r="U210" s="41">
        <f t="shared" si="41"/>
        <v>3.625</v>
      </c>
    </row>
    <row r="211" spans="1:21" ht="23.25">
      <c r="A211" s="281">
        <f>IF(AND('Классный журнал'!C211="-",'Классный журнал'!D211&lt;=$J$5),-1,IF(AND('Классный журнал'!C211="-",'Классный журнал'!D211&gt;$J$5),"x",IF('Классный журнал'!C211="+",1,0)))</f>
        <v>0</v>
      </c>
      <c r="B211" s="126">
        <f t="shared" si="32"/>
      </c>
      <c r="C211" s="126">
        <f t="shared" si="33"/>
      </c>
      <c r="D211" s="22">
        <v>23</v>
      </c>
      <c r="E211" s="50" t="str">
        <f>IF('Классный журнал'!E211="","",IF(OR(A211=-1,A211="x"),"",IF(A211=1,'Классный журнал'!E211,'Классный журнал'!E211)))</f>
        <v>Панченко Олеся</v>
      </c>
      <c r="F211" s="19">
        <f t="shared" si="34"/>
        <v>8</v>
      </c>
      <c r="G211" s="19">
        <f t="shared" si="35"/>
        <v>20</v>
      </c>
      <c r="H211" s="23">
        <f t="shared" si="36"/>
        <v>2.5</v>
      </c>
      <c r="I211" s="24">
        <f t="shared" si="37"/>
        <v>28</v>
      </c>
      <c r="J211" s="24">
        <f t="shared" si="38"/>
        <v>28</v>
      </c>
      <c r="K211" s="19">
        <f>IF(E211="","",COUNTIF('Классный журнал'!F211:IV211,5))</f>
        <v>0</v>
      </c>
      <c r="L211" s="19">
        <f>IF(E211="","",COUNTIF('Классный журнал'!F211:IV211,4))</f>
        <v>0</v>
      </c>
      <c r="M211" s="19">
        <f>IF(E211="","",COUNTIF('Классный журнал'!F211:IV211,3))</f>
        <v>5</v>
      </c>
      <c r="N211" s="19">
        <f>IF(E211="","",COUNTIF('Классный журнал'!F211:IV211,2))</f>
        <v>2</v>
      </c>
      <c r="O211" s="19">
        <f>IF(E211="","",COUNTIF('Классный журнал'!F211:IV211,1))</f>
        <v>1</v>
      </c>
      <c r="P211" s="19">
        <f>IF(E211="",0,COUNTIF('Классный журнал'!F211:IV211,"н/б"))</f>
        <v>1</v>
      </c>
      <c r="Q211" s="19">
        <f>IF(E211="",0,COUNTIF('Классный журнал'!F211:IV211,"н/у"))</f>
        <v>1</v>
      </c>
      <c r="R211" s="19">
        <f>IF(E211="",0,COUNTIF('Классный журнал'!F211:IV211,"н"))</f>
        <v>0</v>
      </c>
      <c r="S211" s="19">
        <f t="shared" si="39"/>
        <v>2</v>
      </c>
      <c r="T211" s="49">
        <f t="shared" si="40"/>
        <v>3</v>
      </c>
      <c r="U211" s="41">
        <f t="shared" si="41"/>
        <v>2.638888888888889</v>
      </c>
    </row>
    <row r="212" spans="1:21" ht="23.25">
      <c r="A212" s="281">
        <f>IF(AND('Классный журнал'!C212="-",'Классный журнал'!D212&lt;=$J$5),-1,IF(AND('Классный журнал'!C212="-",'Классный журнал'!D212&gt;$J$5),"x",IF('Классный журнал'!C212="+",1,0)))</f>
        <v>0</v>
      </c>
      <c r="B212" s="126">
        <f t="shared" si="32"/>
      </c>
      <c r="C212" s="126">
        <f t="shared" si="33"/>
      </c>
      <c r="D212" s="22">
        <v>24</v>
      </c>
      <c r="E212" s="50" t="str">
        <f>IF('Классный журнал'!E212="","",IF(OR(A212=-1,A212="x"),"",IF(A212=1,'Классный журнал'!E212,'Классный журнал'!E212)))</f>
        <v>Перцев Владимир</v>
      </c>
      <c r="F212" s="19">
        <f t="shared" si="34"/>
        <v>9</v>
      </c>
      <c r="G212" s="19">
        <f t="shared" si="35"/>
        <v>27</v>
      </c>
      <c r="H212" s="23">
        <f t="shared" si="36"/>
        <v>3</v>
      </c>
      <c r="I212" s="24">
        <f t="shared" si="37"/>
        <v>15</v>
      </c>
      <c r="J212" s="24">
        <f t="shared" si="38"/>
        <v>18</v>
      </c>
      <c r="K212" s="19">
        <f>IF(E212="","",COUNTIF('Классный журнал'!F212:IV212,5))</f>
        <v>0</v>
      </c>
      <c r="L212" s="19">
        <f>IF(E212="","",COUNTIF('Классный журнал'!F212:IV212,4))</f>
        <v>2</v>
      </c>
      <c r="M212" s="19">
        <f>IF(E212="","",COUNTIF('Классный журнал'!F212:IV212,3))</f>
        <v>5</v>
      </c>
      <c r="N212" s="19">
        <f>IF(E212="","",COUNTIF('Классный журнал'!F212:IV212,2))</f>
        <v>2</v>
      </c>
      <c r="O212" s="19">
        <f>IF(E212="","",COUNTIF('Классный журнал'!F212:IV212,1))</f>
        <v>0</v>
      </c>
      <c r="P212" s="19">
        <f>IF(E212="",0,COUNTIF('Классный журнал'!F212:IV212,"н/б"))</f>
        <v>0</v>
      </c>
      <c r="Q212" s="19">
        <f>IF(E212="",0,COUNTIF('Классный журнал'!F212:IV212,"н/у"))</f>
        <v>0</v>
      </c>
      <c r="R212" s="19">
        <f>IF(E212="",0,COUNTIF('Классный журнал'!F212:IV212,"н"))</f>
        <v>0</v>
      </c>
      <c r="S212" s="19">
        <f t="shared" si="39"/>
        <v>0</v>
      </c>
      <c r="T212" s="49">
        <f t="shared" si="40"/>
        <v>3</v>
      </c>
      <c r="U212" s="41">
        <f t="shared" si="41"/>
        <v>3.075</v>
      </c>
    </row>
    <row r="213" spans="1:21" ht="23.25">
      <c r="A213" s="281">
        <f>IF(AND('Классный журнал'!C213="-",'Классный журнал'!D213&lt;=$J$5),-1,IF(AND('Классный журнал'!C213="-",'Классный журнал'!D213&gt;$J$5),"x",IF('Классный журнал'!C213="+",1,0)))</f>
        <v>0</v>
      </c>
      <c r="B213" s="126" t="str">
        <f t="shared" si="32"/>
        <v>XX</v>
      </c>
      <c r="C213" s="126">
        <f t="shared" si="33"/>
      </c>
      <c r="D213" s="22">
        <v>25</v>
      </c>
      <c r="E213" s="50" t="str">
        <f>IF('Классный журнал'!E213="","",IF(OR(A213=-1,A213="x"),"",IF(A213=1,'Классный журнал'!E213,'Классный журнал'!E213)))</f>
        <v>Плешивцев Виталий</v>
      </c>
      <c r="F213" s="19">
        <f t="shared" si="34"/>
        <v>6</v>
      </c>
      <c r="G213" s="19">
        <f t="shared" si="35"/>
        <v>18</v>
      </c>
      <c r="H213" s="23">
        <f t="shared" si="36"/>
        <v>3</v>
      </c>
      <c r="I213" s="24">
        <f t="shared" si="37"/>
        <v>15</v>
      </c>
      <c r="J213" s="24">
        <f t="shared" si="38"/>
        <v>21</v>
      </c>
      <c r="K213" s="19">
        <f>IF(E213="","",COUNTIF('Классный журнал'!F213:IV213,5))</f>
        <v>0</v>
      </c>
      <c r="L213" s="19">
        <f>IF(E213="","",COUNTIF('Классный журнал'!F213:IV213,4))</f>
        <v>1</v>
      </c>
      <c r="M213" s="19">
        <f>IF(E213="","",COUNTIF('Классный журнал'!F213:IV213,3))</f>
        <v>4</v>
      </c>
      <c r="N213" s="19">
        <f>IF(E213="","",COUNTIF('Классный журнал'!F213:IV213,2))</f>
        <v>1</v>
      </c>
      <c r="O213" s="19">
        <f>IF(E213="","",COUNTIF('Классный журнал'!F213:IV213,1))</f>
        <v>0</v>
      </c>
      <c r="P213" s="19">
        <f>IF(E213="",0,COUNTIF('Классный журнал'!F213:IV213,"н/б"))</f>
        <v>5</v>
      </c>
      <c r="Q213" s="19">
        <f>IF(E213="",0,COUNTIF('Классный журнал'!F213:IV213,"н/у"))</f>
        <v>0</v>
      </c>
      <c r="R213" s="19">
        <f>IF(E213="",0,COUNTIF('Классный журнал'!F213:IV213,"н"))</f>
        <v>0</v>
      </c>
      <c r="S213" s="19">
        <f t="shared" si="39"/>
        <v>5</v>
      </c>
      <c r="T213" s="49">
        <f t="shared" si="40"/>
        <v>3</v>
      </c>
      <c r="U213" s="41">
        <f t="shared" si="41"/>
        <v>2.9285714285714284</v>
      </c>
    </row>
    <row r="214" spans="1:21" ht="23.25">
      <c r="A214" s="281">
        <f>IF(AND('Классный журнал'!C214="-",'Классный журнал'!D214&lt;=$J$5),-1,IF(AND('Классный журнал'!C214="-",'Классный журнал'!D214&gt;$J$5),"x",IF('Классный журнал'!C214="+",1,0)))</f>
        <v>0</v>
      </c>
      <c r="B214" s="126" t="str">
        <f t="shared" si="32"/>
        <v>XX</v>
      </c>
      <c r="C214" s="126">
        <f t="shared" si="33"/>
      </c>
      <c r="D214" s="22">
        <v>26</v>
      </c>
      <c r="E214" s="50" t="str">
        <f>IF('Классный журнал'!E214="","",IF(OR(A214=-1,A214="x"),"",IF(A214=1,'Классный журнал'!E214,'Классный журнал'!E214)))</f>
        <v>Савинов Александр</v>
      </c>
      <c r="F214" s="19">
        <f t="shared" si="34"/>
        <v>5</v>
      </c>
      <c r="G214" s="19">
        <f t="shared" si="35"/>
        <v>22</v>
      </c>
      <c r="H214" s="23">
        <f t="shared" si="36"/>
        <v>4.4</v>
      </c>
      <c r="I214" s="24">
        <f t="shared" si="37"/>
        <v>1</v>
      </c>
      <c r="J214" s="24">
        <f t="shared" si="38"/>
        <v>3</v>
      </c>
      <c r="K214" s="19">
        <f>IF(E214="","",COUNTIF('Классный журнал'!F214:IV214,5))</f>
        <v>3</v>
      </c>
      <c r="L214" s="19">
        <f>IF(E214="","",COUNTIF('Классный журнал'!F214:IV214,4))</f>
        <v>1</v>
      </c>
      <c r="M214" s="19">
        <f>IF(E214="","",COUNTIF('Классный журнал'!F214:IV214,3))</f>
        <v>1</v>
      </c>
      <c r="N214" s="19">
        <f>IF(E214="","",COUNTIF('Классный журнал'!F214:IV214,2))</f>
        <v>0</v>
      </c>
      <c r="O214" s="19">
        <f>IF(E214="","",COUNTIF('Классный журнал'!F214:IV214,1))</f>
        <v>0</v>
      </c>
      <c r="P214" s="19">
        <f>IF(E214="",0,COUNTIF('Классный журнал'!F214:IV214,"н/б"))</f>
        <v>1</v>
      </c>
      <c r="Q214" s="19">
        <f>IF(E214="",0,COUNTIF('Классный журнал'!F214:IV214,"н/у"))</f>
        <v>2</v>
      </c>
      <c r="R214" s="19">
        <f>IF(E214="",0,COUNTIF('Классный журнал'!F214:IV214,"н"))</f>
        <v>1</v>
      </c>
      <c r="S214" s="19">
        <f t="shared" si="39"/>
        <v>4</v>
      </c>
      <c r="T214" s="49" t="str">
        <f t="shared" si="40"/>
        <v>н/а</v>
      </c>
      <c r="U214" s="41">
        <f t="shared" si="41"/>
        <v>4.096774193548387</v>
      </c>
    </row>
    <row r="215" spans="1:21" ht="24" thickBot="1">
      <c r="A215" s="281">
        <f>IF(AND('Классный журнал'!C215="-",'Классный журнал'!D215&lt;=$J$5),-1,IF(AND('Классный журнал'!C215="-",'Классный журнал'!D215&gt;$J$5),"x",IF('Классный журнал'!C215="+",1,0)))</f>
        <v>0</v>
      </c>
      <c r="B215" s="126">
        <f t="shared" si="32"/>
      </c>
      <c r="C215" s="126">
        <f t="shared" si="33"/>
      </c>
      <c r="D215" s="22">
        <v>27</v>
      </c>
      <c r="E215" s="50" t="str">
        <f>IF('Классный журнал'!E215="","",IF(OR(A215=-1,A215="x"),"",IF(A215=1,'Классный журнал'!E215,'Классный журнал'!E215)))</f>
        <v>Фадеева Виктория</v>
      </c>
      <c r="F215" s="19">
        <f t="shared" si="34"/>
        <v>8</v>
      </c>
      <c r="G215" s="19">
        <f t="shared" si="35"/>
        <v>23</v>
      </c>
      <c r="H215" s="23">
        <f t="shared" si="36"/>
        <v>2.875</v>
      </c>
      <c r="I215" s="24">
        <f t="shared" si="37"/>
        <v>19</v>
      </c>
      <c r="J215" s="24">
        <f t="shared" si="38"/>
        <v>23</v>
      </c>
      <c r="K215" s="19">
        <f>IF(E215="","",COUNTIF('Классный журнал'!F215:IV215,5))</f>
        <v>0</v>
      </c>
      <c r="L215" s="19">
        <f>IF(E215="","",COUNTIF('Классный журнал'!F215:IV215,4))</f>
        <v>2</v>
      </c>
      <c r="M215" s="19">
        <f>IF(E215="","",COUNTIF('Классный журнал'!F215:IV215,3))</f>
        <v>3</v>
      </c>
      <c r="N215" s="19">
        <f>IF(E215="","",COUNTIF('Классный журнал'!F215:IV215,2))</f>
        <v>3</v>
      </c>
      <c r="O215" s="19">
        <f>IF(E215="","",COUNTIF('Классный журнал'!F215:IV215,1))</f>
        <v>0</v>
      </c>
      <c r="P215" s="19">
        <f>IF(E215="",0,COUNTIF('Классный журнал'!F215:IV215,"н/б"))</f>
        <v>0</v>
      </c>
      <c r="Q215" s="19">
        <f>IF(E215="",0,COUNTIF('Классный журнал'!F215:IV215,"н/у"))</f>
        <v>0</v>
      </c>
      <c r="R215" s="19">
        <f>IF(E215="",0,COUNTIF('Классный журнал'!F215:IV215,"н"))</f>
        <v>0</v>
      </c>
      <c r="S215" s="19">
        <f t="shared" si="39"/>
        <v>0</v>
      </c>
      <c r="T215" s="49">
        <f t="shared" si="40"/>
        <v>3</v>
      </c>
      <c r="U215" s="41">
        <f t="shared" si="41"/>
        <v>2.8529411764705883</v>
      </c>
    </row>
    <row r="216" spans="1:24" ht="24" thickTop="1">
      <c r="A216" s="281">
        <f>IF(AND('Классный журнал'!C216="-",'Классный журнал'!D216&lt;=$J$5),-1,IF(AND('Классный журнал'!C216="-",'Классный журнал'!D216&gt;$J$5),"x",IF('Классный журнал'!C216="+",1,0)))</f>
        <v>0</v>
      </c>
      <c r="B216" s="126" t="str">
        <f t="shared" si="32"/>
        <v>x</v>
      </c>
      <c r="C216" s="126">
        <f t="shared" si="33"/>
      </c>
      <c r="D216" s="22">
        <v>28</v>
      </c>
      <c r="E216" s="50" t="str">
        <f>IF('Классный журнал'!E216="","",IF(OR(A216=-1,A216="x"),"",IF(A216=1,'Классный журнал'!E216,'Классный журнал'!E216)))</f>
        <v>Шестопалова Алёна</v>
      </c>
      <c r="F216" s="19">
        <f t="shared" si="34"/>
        <v>7</v>
      </c>
      <c r="G216" s="19">
        <f t="shared" si="35"/>
        <v>18</v>
      </c>
      <c r="H216" s="23">
        <f t="shared" si="36"/>
        <v>2.5714285714285716</v>
      </c>
      <c r="I216" s="24">
        <f t="shared" si="37"/>
        <v>25</v>
      </c>
      <c r="J216" s="24">
        <f t="shared" si="38"/>
        <v>26</v>
      </c>
      <c r="K216" s="19">
        <f>IF(E216="","",COUNTIF('Классный журнал'!F216:IV216,5))</f>
        <v>0</v>
      </c>
      <c r="L216" s="19">
        <f>IF(E216="","",COUNTIF('Классный журнал'!F216:IV216,4))</f>
        <v>0</v>
      </c>
      <c r="M216" s="19">
        <f>IF(E216="","",COUNTIF('Классный журнал'!F216:IV216,3))</f>
        <v>4</v>
      </c>
      <c r="N216" s="19">
        <f>IF(E216="","",COUNTIF('Классный журнал'!F216:IV216,2))</f>
        <v>3</v>
      </c>
      <c r="O216" s="19">
        <f>IF(E216="","",COUNTIF('Классный журнал'!F216:IV216,1))</f>
        <v>0</v>
      </c>
      <c r="P216" s="19">
        <f>IF(E216="",0,COUNTIF('Классный журнал'!F216:IV216,"н/б"))</f>
        <v>1</v>
      </c>
      <c r="Q216" s="19">
        <f>IF(E216="",0,COUNTIF('Классный журнал'!F216:IV216,"н/у"))</f>
        <v>0</v>
      </c>
      <c r="R216" s="19">
        <f>IF(E216="",0,COUNTIF('Классный журнал'!F216:IV216,"н"))</f>
        <v>0</v>
      </c>
      <c r="S216" s="19">
        <f t="shared" si="39"/>
        <v>1</v>
      </c>
      <c r="T216" s="49">
        <f t="shared" si="40"/>
        <v>3</v>
      </c>
      <c r="U216" s="41">
        <f t="shared" si="41"/>
        <v>2.787878787878788</v>
      </c>
      <c r="V216" s="328" t="s">
        <v>85</v>
      </c>
      <c r="W216" s="31" t="s">
        <v>40</v>
      </c>
      <c r="X216" s="15">
        <f>COUNTIF(T189:T223,"5")</f>
        <v>0</v>
      </c>
    </row>
    <row r="217" spans="1:24" ht="23.25">
      <c r="A217" s="281" t="str">
        <f>IF(AND('Классный журнал'!C217="-",'Классный журнал'!D217&lt;=$J$5),-1,IF(AND('Классный журнал'!C217="-",'Классный журнал'!D217&gt;$J$5),"x",IF('Классный журнал'!C217="+",1,0)))</f>
        <v>x</v>
      </c>
      <c r="B217" s="126">
        <f t="shared" si="32"/>
      </c>
      <c r="C217" s="126">
        <f t="shared" si="33"/>
      </c>
      <c r="D217" s="22">
        <v>29</v>
      </c>
      <c r="E217" s="50">
        <f>IF('Классный журнал'!E217="","",IF(OR(A217=-1,A217="x"),"",IF(A217=1,'Классный журнал'!E217,'Классный журнал'!E217)))</f>
      </c>
      <c r="F217" s="19">
        <f t="shared" si="34"/>
        <v>0</v>
      </c>
      <c r="G217" s="19">
        <f t="shared" si="35"/>
        <v>0</v>
      </c>
      <c r="H217" s="23">
        <f t="shared" si="36"/>
      </c>
      <c r="I217" s="24">
        <f t="shared" si="37"/>
      </c>
      <c r="J217" s="24">
        <f t="shared" si="38"/>
      </c>
      <c r="K217" s="19">
        <f>IF(E217="","",COUNTIF('Классный журнал'!F217:IV217,5))</f>
      </c>
      <c r="L217" s="19">
        <f>IF(E217="","",COUNTIF('Классный журнал'!F217:IV217,4))</f>
      </c>
      <c r="M217" s="19">
        <f>IF(E217="","",COUNTIF('Классный журнал'!F217:IV217,3))</f>
      </c>
      <c r="N217" s="19">
        <f>IF(E217="","",COUNTIF('Классный журнал'!F217:IV217,2))</f>
      </c>
      <c r="O217" s="19">
        <f>IF(E217="","",COUNTIF('Классный журнал'!F217:IV217,1))</f>
      </c>
      <c r="P217" s="19">
        <f>IF(E217="",0,COUNTIF('Классный журнал'!F217:IV217,"н/б"))</f>
        <v>0</v>
      </c>
      <c r="Q217" s="19">
        <f>IF(E217="",0,COUNTIF('Классный журнал'!F217:IV217,"н/у"))</f>
        <v>0</v>
      </c>
      <c r="R217" s="19">
        <f>IF(E217="",0,COUNTIF('Классный журнал'!F217:IV217,"н"))</f>
        <v>0</v>
      </c>
      <c r="S217" s="19">
        <f t="shared" si="39"/>
      </c>
      <c r="T217" s="49">
        <f t="shared" si="40"/>
      </c>
      <c r="U217" s="41">
        <f t="shared" si="41"/>
      </c>
      <c r="V217" s="329"/>
      <c r="W217" s="19" t="s">
        <v>41</v>
      </c>
      <c r="X217" s="21">
        <f>COUNTIF(T189:T223,"4")</f>
        <v>7</v>
      </c>
    </row>
    <row r="218" spans="1:24" ht="23.25">
      <c r="A218" s="281">
        <f>IF(AND('Классный журнал'!C218="-",'Классный журнал'!D218&lt;=$J$5),-1,IF(AND('Классный журнал'!C218="-",'Классный журнал'!D218&gt;$J$5),"x",IF('Классный журнал'!C218="+",1,0)))</f>
        <v>1</v>
      </c>
      <c r="B218" s="126">
        <f t="shared" si="32"/>
      </c>
      <c r="C218" s="126">
        <f t="shared" si="33"/>
      </c>
      <c r="D218" s="35">
        <v>30</v>
      </c>
      <c r="E218" s="50" t="str">
        <f>IF('Классный журнал'!E218="","",IF(OR(A218=-1,A218="x"),"",IF(A218=1,'Классный журнал'!E218,'Классный журнал'!E218)))</f>
        <v>Степанов Олег</v>
      </c>
      <c r="F218" s="19">
        <f t="shared" si="34"/>
        <v>9</v>
      </c>
      <c r="G218" s="19">
        <f t="shared" si="35"/>
        <v>29</v>
      </c>
      <c r="H218" s="23">
        <f t="shared" si="36"/>
        <v>3.2222222222222223</v>
      </c>
      <c r="I218" s="24">
        <f t="shared" si="37"/>
        <v>14</v>
      </c>
      <c r="J218" s="24">
        <f t="shared" si="38"/>
        <v>15</v>
      </c>
      <c r="K218" s="19">
        <f>IF(E218="","",COUNTIF('Классный журнал'!F218:IV218,5))</f>
        <v>0</v>
      </c>
      <c r="L218" s="19">
        <f>IF(E218="","",COUNTIF('Классный журнал'!F218:IV218,4))</f>
        <v>4</v>
      </c>
      <c r="M218" s="19">
        <f>IF(E218="","",COUNTIF('Классный журнал'!F218:IV218,3))</f>
        <v>3</v>
      </c>
      <c r="N218" s="19">
        <f>IF(E218="","",COUNTIF('Классный журнал'!F218:IV218,2))</f>
        <v>2</v>
      </c>
      <c r="O218" s="19">
        <f>IF(E218="","",COUNTIF('Классный журнал'!F218:IV218,1))</f>
        <v>0</v>
      </c>
      <c r="P218" s="19">
        <f>IF(E218="",0,COUNTIF('Классный журнал'!F218:IV218,"н/б"))</f>
        <v>0</v>
      </c>
      <c r="Q218" s="19">
        <f>IF(E218="",0,COUNTIF('Классный журнал'!F218:IV218,"н/у"))</f>
        <v>0</v>
      </c>
      <c r="R218" s="19">
        <f>IF(E218="",0,COUNTIF('Классный журнал'!F218:IV218,"н"))</f>
        <v>0</v>
      </c>
      <c r="S218" s="19">
        <f t="shared" si="39"/>
        <v>0</v>
      </c>
      <c r="T218" s="49">
        <f t="shared" si="40"/>
        <v>3</v>
      </c>
      <c r="U218" s="41">
        <f t="shared" si="41"/>
        <v>3.185185185185185</v>
      </c>
      <c r="V218" s="329"/>
      <c r="W218" s="19" t="s">
        <v>42</v>
      </c>
      <c r="X218" s="21">
        <f>COUNTIF(T189:T223,"3")</f>
        <v>20</v>
      </c>
    </row>
    <row r="219" spans="1:24" ht="23.25">
      <c r="A219" s="281">
        <f>IF(AND('Классный журнал'!C219="-",'Классный журнал'!D219&lt;=$J$5),-1,IF(AND('Классный журнал'!C219="-",'Классный журнал'!D219&gt;$J$5),"x",IF('Классный журнал'!C219="+",1,0)))</f>
        <v>1</v>
      </c>
      <c r="B219" s="126" t="str">
        <f t="shared" si="32"/>
        <v>x</v>
      </c>
      <c r="C219" s="126">
        <f t="shared" si="33"/>
      </c>
      <c r="D219" s="22">
        <v>31</v>
      </c>
      <c r="E219" s="50" t="str">
        <f>IF('Классный журнал'!E219="","",IF(OR(A219=-1,A219="x"),"",IF(A219=1,'Классный журнал'!E219,'Классный журнал'!E219)))</f>
        <v>Сидоров Глеб</v>
      </c>
      <c r="F219" s="19">
        <f t="shared" si="34"/>
        <v>7</v>
      </c>
      <c r="G219" s="19">
        <f t="shared" si="35"/>
        <v>19</v>
      </c>
      <c r="H219" s="23">
        <f t="shared" si="36"/>
        <v>2.7142857142857144</v>
      </c>
      <c r="I219" s="24">
        <f t="shared" si="37"/>
        <v>22</v>
      </c>
      <c r="J219" s="24">
        <f t="shared" si="38"/>
        <v>13</v>
      </c>
      <c r="K219" s="19">
        <f>IF(E219="","",COUNTIF('Классный журнал'!F219:IV219,5))</f>
        <v>0</v>
      </c>
      <c r="L219" s="19">
        <f>IF(E219="","",COUNTIF('Классный журнал'!F219:IV219,4))</f>
        <v>1</v>
      </c>
      <c r="M219" s="19">
        <f>IF(E219="","",COUNTIF('Классный журнал'!F219:IV219,3))</f>
        <v>4</v>
      </c>
      <c r="N219" s="19">
        <f>IF(E219="","",COUNTIF('Классный журнал'!F219:IV219,2))</f>
        <v>1</v>
      </c>
      <c r="O219" s="19">
        <f>IF(E219="","",COUNTIF('Классный журнал'!F219:IV219,1))</f>
        <v>1</v>
      </c>
      <c r="P219" s="19">
        <f>IF(E219="",0,COUNTIF('Классный журнал'!F219:IV219,"н/б"))</f>
        <v>0</v>
      </c>
      <c r="Q219" s="19">
        <f>IF(E219="",0,COUNTIF('Классный журнал'!F219:IV219,"н/у"))</f>
        <v>0</v>
      </c>
      <c r="R219" s="19">
        <f>IF(E219="",0,COUNTIF('Классный журнал'!F219:IV219,"н"))</f>
        <v>0</v>
      </c>
      <c r="S219" s="19">
        <f t="shared" si="39"/>
        <v>0</v>
      </c>
      <c r="T219" s="49">
        <f t="shared" si="40"/>
        <v>3</v>
      </c>
      <c r="U219" s="41">
        <f t="shared" si="41"/>
        <v>3.3333333333333335</v>
      </c>
      <c r="V219" s="329"/>
      <c r="W219" s="19" t="s">
        <v>43</v>
      </c>
      <c r="X219" s="21">
        <f>COUNTIF(T189:T223,"2")</f>
        <v>3</v>
      </c>
    </row>
    <row r="220" spans="1:24" ht="24" thickBot="1">
      <c r="A220" s="281">
        <f>IF(AND('Классный журнал'!C220="-",'Классный журнал'!D220&lt;=$J$5),-1,IF(AND('Классный журнал'!C220="-",'Классный журнал'!D220&gt;$J$5),"x",IF('Классный журнал'!C220="+",1,0)))</f>
        <v>1</v>
      </c>
      <c r="B220" s="126" t="str">
        <f t="shared" si="32"/>
        <v>x</v>
      </c>
      <c r="C220" s="126">
        <f t="shared" si="33"/>
      </c>
      <c r="D220" s="35">
        <v>32</v>
      </c>
      <c r="E220" s="50" t="str">
        <f>IF('Классный журнал'!E220="","",IF(OR(A220=-1,A220="x"),"",IF(A220=1,'Классный журнал'!E220,'Классный журнал'!E220)))</f>
        <v>Есин Пётр</v>
      </c>
      <c r="F220" s="19">
        <f t="shared" si="34"/>
        <v>7</v>
      </c>
      <c r="G220" s="19">
        <f t="shared" si="35"/>
        <v>20</v>
      </c>
      <c r="H220" s="23">
        <f t="shared" si="36"/>
        <v>2.857142857142857</v>
      </c>
      <c r="I220" s="24">
        <f t="shared" si="37"/>
        <v>20</v>
      </c>
      <c r="J220" s="24">
        <f t="shared" si="38"/>
        <v>22</v>
      </c>
      <c r="K220" s="19">
        <f>IF(E220="","",COUNTIF('Классный журнал'!F220:IV220,5))</f>
        <v>0</v>
      </c>
      <c r="L220" s="19">
        <f>IF(E220="","",COUNTIF('Классный журнал'!F220:IV220,4))</f>
        <v>0</v>
      </c>
      <c r="M220" s="19">
        <f>IF(E220="","",COUNTIF('Классный журнал'!F220:IV220,3))</f>
        <v>6</v>
      </c>
      <c r="N220" s="19">
        <f>IF(E220="","",COUNTIF('Классный журнал'!F220:IV220,2))</f>
        <v>1</v>
      </c>
      <c r="O220" s="19">
        <f>IF(E220="","",COUNTIF('Классный журнал'!F220:IV220,1))</f>
        <v>0</v>
      </c>
      <c r="P220" s="19">
        <f>IF(E220="",0,COUNTIF('Классный журнал'!F220:IV220,"н/б"))</f>
        <v>0</v>
      </c>
      <c r="Q220" s="19">
        <f>IF(E220="",0,COUNTIF('Классный журнал'!F220:IV220,"н/у"))</f>
        <v>0</v>
      </c>
      <c r="R220" s="19">
        <f>IF(E220="",0,COUNTIF('Классный журнал'!F220:IV220,"н"))</f>
        <v>0</v>
      </c>
      <c r="S220" s="19">
        <f t="shared" si="39"/>
        <v>0</v>
      </c>
      <c r="T220" s="49">
        <f t="shared" si="40"/>
        <v>3</v>
      </c>
      <c r="U220" s="41">
        <f t="shared" si="41"/>
        <v>2.857142857142857</v>
      </c>
      <c r="V220" s="329"/>
      <c r="W220" s="36" t="s">
        <v>44</v>
      </c>
      <c r="X220" s="282">
        <f>COUNTIF(T189:T223,"1")</f>
        <v>0</v>
      </c>
    </row>
    <row r="221" spans="1:24" ht="24" thickTop="1">
      <c r="A221" s="281">
        <f>IF(AND('Классный журнал'!C221="-",'Классный журнал'!D221&lt;=$J$5),-1,IF(AND('Классный журнал'!C221="-",'Классный журнал'!D221&gt;$J$5),"x",IF('Классный журнал'!C221="+",1,0)))</f>
        <v>1</v>
      </c>
      <c r="B221" s="126">
        <f t="shared" si="32"/>
      </c>
      <c r="C221" s="126">
        <f t="shared" si="33"/>
      </c>
      <c r="D221" s="22">
        <v>33</v>
      </c>
      <c r="E221" s="50" t="str">
        <f>IF('Классный журнал'!E221="","",IF(OR(A221=-1,A221="x"),"",IF(A221=1,'Классный журнал'!E221,'Классный журнал'!E221)))</f>
        <v>Котова Мария</v>
      </c>
      <c r="F221" s="19">
        <f t="shared" si="34"/>
        <v>8</v>
      </c>
      <c r="G221" s="19">
        <f t="shared" si="35"/>
        <v>34</v>
      </c>
      <c r="H221" s="23">
        <f t="shared" si="36"/>
        <v>4.25</v>
      </c>
      <c r="I221" s="24">
        <f t="shared" si="37"/>
        <v>4</v>
      </c>
      <c r="J221" s="24">
        <f t="shared" si="38"/>
        <v>2</v>
      </c>
      <c r="K221" s="19">
        <f>IF(E221="","",COUNTIF('Классный журнал'!F221:IV221,5))</f>
        <v>3</v>
      </c>
      <c r="L221" s="19">
        <f>IF(E221="","",COUNTIF('Классный журнал'!F221:IV221,4))</f>
        <v>4</v>
      </c>
      <c r="M221" s="19">
        <f>IF(E221="","",COUNTIF('Классный журнал'!F221:IV221,3))</f>
        <v>1</v>
      </c>
      <c r="N221" s="19">
        <f>IF(E221="","",COUNTIF('Классный журнал'!F221:IV221,2))</f>
        <v>0</v>
      </c>
      <c r="O221" s="19">
        <f>IF(E221="","",COUNTIF('Классный журнал'!F221:IV221,1))</f>
        <v>0</v>
      </c>
      <c r="P221" s="19">
        <f>IF(E221="",0,COUNTIF('Классный журнал'!F221:IV221,"н/б"))</f>
        <v>0</v>
      </c>
      <c r="Q221" s="19">
        <f>IF(E221="",0,COUNTIF('Классный журнал'!F221:IV221,"н/у"))</f>
        <v>0</v>
      </c>
      <c r="R221" s="19">
        <f>IF(E221="",0,COUNTIF('Классный журнал'!F221:IV221,"н"))</f>
        <v>0</v>
      </c>
      <c r="S221" s="19">
        <f t="shared" si="39"/>
        <v>0</v>
      </c>
      <c r="T221" s="49">
        <f>IF(E221="","",IF(F221&lt;($O$186*3),"н/а",IF(H221&gt;=4.8,5,IF(AND(3.7&lt;=H221,H221&lt;4.8),4,IF(AND(2.5&lt;=H221,H221&lt;3.7),3,IF(H221=0,"--",2))))))</f>
        <v>4</v>
      </c>
      <c r="U221" s="41">
        <f t="shared" si="41"/>
        <v>4.25</v>
      </c>
      <c r="V221" s="330" t="s">
        <v>199</v>
      </c>
      <c r="W221" s="331"/>
      <c r="X221" s="15">
        <f>35-(COUNTIF(T189:T223,"н/а")+COUNTIF(T189:T223,""))</f>
        <v>30</v>
      </c>
    </row>
    <row r="222" spans="1:24" ht="23.25">
      <c r="A222" s="281">
        <f>IF(AND('Классный журнал'!C222="-",'Классный журнал'!D222&lt;=$J$5),-1,IF(AND('Классный журнал'!C222="-",'Классный журнал'!D222&gt;$J$5),"x",IF('Классный журнал'!C222="+",1,0)))</f>
        <v>1</v>
      </c>
      <c r="B222" s="126">
        <f t="shared" si="32"/>
      </c>
      <c r="C222" s="126">
        <f t="shared" si="33"/>
      </c>
      <c r="D222" s="35">
        <v>34</v>
      </c>
      <c r="E222" s="50" t="str">
        <f>IF('Классный журнал'!E222="","",IF(OR(A222=-1,A222="x"),"",IF(A222=1,'Классный журнал'!E222,'Классный журнал'!E222)))</f>
        <v>Бузгин Иван</v>
      </c>
      <c r="F222" s="19">
        <f t="shared" si="34"/>
        <v>8</v>
      </c>
      <c r="G222" s="19">
        <f t="shared" si="35"/>
        <v>26</v>
      </c>
      <c r="H222" s="23">
        <f t="shared" si="36"/>
        <v>3.25</v>
      </c>
      <c r="I222" s="24">
        <f t="shared" si="37"/>
        <v>13</v>
      </c>
      <c r="J222" s="24">
        <f t="shared" si="38"/>
        <v>14</v>
      </c>
      <c r="K222" s="19">
        <f>IF(E222="","",COUNTIF('Классный журнал'!F222:IV222,5))</f>
        <v>1</v>
      </c>
      <c r="L222" s="19">
        <f>IF(E222="","",COUNTIF('Классный журнал'!F222:IV222,4))</f>
        <v>1</v>
      </c>
      <c r="M222" s="19">
        <f>IF(E222="","",COUNTIF('Классный журнал'!F222:IV222,3))</f>
        <v>5</v>
      </c>
      <c r="N222" s="19">
        <f>IF(E222="","",COUNTIF('Классный журнал'!F222:IV222,2))</f>
        <v>1</v>
      </c>
      <c r="O222" s="19">
        <f>IF(E222="","",COUNTIF('Классный журнал'!F222:IV222,1))</f>
        <v>0</v>
      </c>
      <c r="P222" s="19">
        <f>IF(E222="",0,COUNTIF('Классный журнал'!F222:IV222,"н/б"))</f>
        <v>0</v>
      </c>
      <c r="Q222" s="19">
        <f>IF(E222="",0,COUNTIF('Классный журнал'!F222:IV222,"н/у"))</f>
        <v>0</v>
      </c>
      <c r="R222" s="19">
        <f>IF(E222="",0,COUNTIF('Классный журнал'!F222:IV222,"н"))</f>
        <v>0</v>
      </c>
      <c r="S222" s="19">
        <f t="shared" si="39"/>
        <v>0</v>
      </c>
      <c r="T222" s="49">
        <f>IF(E222="","",IF(F222&lt;($O$186*3),"н/а",IF(H222&gt;=4.8,5,IF(AND(3.7&lt;=H222,H222&lt;4.8),4,IF(AND(2.5&lt;=H222,H222&lt;3.7),3,IF(H222=0,"--",2))))))</f>
        <v>3</v>
      </c>
      <c r="U222" s="41">
        <f t="shared" si="41"/>
        <v>3.25</v>
      </c>
      <c r="V222" s="332" t="s">
        <v>78</v>
      </c>
      <c r="W222" s="333"/>
      <c r="X222" s="32">
        <f>(X216+X217+X218)/X221</f>
        <v>0.9</v>
      </c>
    </row>
    <row r="223" spans="1:24" ht="23.25">
      <c r="A223" s="281">
        <f>IF(AND('Классный журнал'!C223="-",'Классный журнал'!D223&lt;=$J$5),-1,IF(AND('Классный журнал'!C223="-",'Классный журнал'!D223&gt;$J$5),"x",IF('Классный журнал'!C223="+",1,0)))</f>
        <v>0</v>
      </c>
      <c r="B223" s="126">
        <f t="shared" si="32"/>
      </c>
      <c r="C223" s="126">
        <f t="shared" si="33"/>
      </c>
      <c r="D223" s="22">
        <v>35</v>
      </c>
      <c r="E223" s="50">
        <f>IF('Классный журнал'!E223="","",IF(OR(A223=-1,A223="x"),"",IF(A223=1,'Классный журнал'!E223,'Классный журнал'!E223)))</f>
      </c>
      <c r="F223" s="19">
        <f t="shared" si="34"/>
        <v>0</v>
      </c>
      <c r="G223" s="19">
        <f t="shared" si="35"/>
        <v>0</v>
      </c>
      <c r="H223" s="23">
        <f t="shared" si="36"/>
      </c>
      <c r="I223" s="24">
        <f t="shared" si="37"/>
      </c>
      <c r="J223" s="24">
        <f t="shared" si="38"/>
      </c>
      <c r="K223" s="19">
        <f>IF(E223="","",COUNTIF('Классный журнал'!F223:IV223,5))</f>
      </c>
      <c r="L223" s="19">
        <f>IF(E223="","",COUNTIF('Классный журнал'!F223:IV223,4))</f>
      </c>
      <c r="M223" s="19">
        <f>IF(E223="","",COUNTIF('Классный журнал'!F223:IV223,3))</f>
      </c>
      <c r="N223" s="19">
        <f>IF(E223="","",COUNTIF('Классный журнал'!F223:IV223,2))</f>
      </c>
      <c r="O223" s="19">
        <f>IF(E223="","",COUNTIF('Классный журнал'!F223:IV223,1))</f>
      </c>
      <c r="P223" s="19">
        <f>IF(E223="",0,COUNTIF('Классный журнал'!F223:IV223,"н/б"))</f>
        <v>0</v>
      </c>
      <c r="Q223" s="19">
        <f>IF(E223="",0,COUNTIF('Классный журнал'!F223:IV223,"н/у"))</f>
        <v>0</v>
      </c>
      <c r="R223" s="19">
        <f>IF(E223="",0,COUNTIF('Классный журнал'!F223:IV223,"н"))</f>
        <v>0</v>
      </c>
      <c r="S223" s="19">
        <f t="shared" si="39"/>
      </c>
      <c r="T223" s="49">
        <f>IF(E223="","",IF(F223&lt;($O$186*3),"н/а",IF(H223&gt;=4.8,5,IF(AND(3.7&lt;=H223,H223&lt;4.8),4,IF(AND(2.5&lt;=H223,H223&lt;3.7),3,IF(H223=0,"--",2))))))</f>
      </c>
      <c r="U223" s="41">
        <f t="shared" si="41"/>
      </c>
      <c r="V223" s="332" t="s">
        <v>79</v>
      </c>
      <c r="W223" s="333"/>
      <c r="X223" s="32">
        <f>(X216+X217)/X221</f>
        <v>0.23333333333333334</v>
      </c>
    </row>
    <row r="224" spans="2:24" ht="18.75" thickBot="1">
      <c r="B224" s="80"/>
      <c r="C224" s="80"/>
      <c r="D224" s="87"/>
      <c r="E224" s="56"/>
      <c r="F224" s="326" t="s">
        <v>49</v>
      </c>
      <c r="G224" s="327"/>
      <c r="H224" s="57">
        <f>SUM(H189:H223)/H188</f>
        <v>3.192741935483871</v>
      </c>
      <c r="I224" s="57"/>
      <c r="J224" s="129" t="s">
        <v>50</v>
      </c>
      <c r="K224" s="28">
        <f aca="true" t="shared" si="42" ref="K224:R224">SUM(K189:K218)</f>
        <v>19</v>
      </c>
      <c r="L224" s="28">
        <f t="shared" si="42"/>
        <v>54</v>
      </c>
      <c r="M224" s="28">
        <f t="shared" si="42"/>
        <v>89</v>
      </c>
      <c r="N224" s="28">
        <f t="shared" si="42"/>
        <v>41</v>
      </c>
      <c r="O224" s="130">
        <f t="shared" si="42"/>
        <v>6</v>
      </c>
      <c r="P224" s="128">
        <f t="shared" si="42"/>
        <v>14</v>
      </c>
      <c r="Q224" s="28">
        <f t="shared" si="42"/>
        <v>9</v>
      </c>
      <c r="R224" s="130">
        <f t="shared" si="42"/>
        <v>23</v>
      </c>
      <c r="S224" s="60">
        <f>SUM(P224:R224)</f>
        <v>46</v>
      </c>
      <c r="T224" s="61"/>
      <c r="V224" s="322" t="s">
        <v>80</v>
      </c>
      <c r="W224" s="323"/>
      <c r="X224" s="134">
        <f>(X216+X217*0.64+X218*0.32+(X219+X220)*0.16)/X221</f>
        <v>0.3786666666666667</v>
      </c>
    </row>
    <row r="225" spans="2:20" ht="18.75" thickTop="1">
      <c r="B225" s="1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135">
        <f>COUNT(T189:T218)</f>
        <v>26</v>
      </c>
    </row>
    <row r="226" spans="2:20" ht="18">
      <c r="B226" s="1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2:20" ht="18" hidden="1">
      <c r="B227" s="1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2:20" ht="18" hidden="1">
      <c r="B228" s="1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2:20" ht="18" hidden="1">
      <c r="B229" s="1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2:20" ht="18" hidden="1">
      <c r="B230" s="1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2:20" ht="18" hidden="1">
      <c r="B231" s="1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2:20" ht="18" hidden="1">
      <c r="B232" s="1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2:20" ht="18" hidden="1">
      <c r="B233" s="1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2:20" ht="18" hidden="1">
      <c r="B234" s="1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ht="12.75" hidden="1"/>
    <row r="236" ht="12.75" hidden="1"/>
    <row r="237" ht="12.75" hidden="1"/>
    <row r="238" ht="12.75" hidden="1"/>
    <row r="239" ht="12.75" hidden="1"/>
    <row r="240" ht="12.75" hidden="1"/>
    <row r="241" spans="2:23" ht="12.75" hidden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U241" s="1"/>
      <c r="V241" s="1"/>
      <c r="W241" s="1"/>
    </row>
    <row r="242" spans="2:23" ht="12.75" hidden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U242" s="1"/>
      <c r="V242" s="1"/>
      <c r="W242" s="1"/>
    </row>
    <row r="243" spans="2:23" ht="12.75" hidden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U243" s="1"/>
      <c r="V243" s="1"/>
      <c r="W243" s="1"/>
    </row>
    <row r="244" spans="2:23" ht="18">
      <c r="B244" s="5"/>
      <c r="C244" s="6"/>
      <c r="D244" s="5"/>
      <c r="E244" s="5"/>
      <c r="F244" s="5"/>
      <c r="G244" s="5"/>
      <c r="H244" s="5"/>
      <c r="I244" s="5"/>
      <c r="J244" s="5"/>
      <c r="K244" s="6"/>
      <c r="L244" s="5"/>
      <c r="M244" s="5"/>
      <c r="N244" s="5"/>
      <c r="O244" s="6"/>
      <c r="P244" s="5"/>
      <c r="Q244" s="1"/>
      <c r="R244" s="1"/>
      <c r="S244" s="1"/>
      <c r="U244" s="1"/>
      <c r="V244" s="1"/>
      <c r="W244" s="1"/>
    </row>
    <row r="245" spans="1:23" s="68" customFormat="1" ht="49.5" customHeight="1">
      <c r="A245" s="90"/>
      <c r="B245" s="238"/>
      <c r="C245" s="238"/>
      <c r="D245" s="238"/>
      <c r="E245" s="253"/>
      <c r="F245" s="253"/>
      <c r="G245" s="253"/>
      <c r="H245" s="140"/>
      <c r="I245" s="241"/>
      <c r="J245" s="241"/>
      <c r="K245" s="241"/>
      <c r="L245" s="90"/>
      <c r="M245" s="90"/>
      <c r="N245" s="90"/>
      <c r="O245" s="90"/>
      <c r="P245" s="238"/>
      <c r="Q245" s="90"/>
      <c r="R245" s="90"/>
      <c r="S245" s="90"/>
      <c r="T245" s="90"/>
      <c r="U245" s="90"/>
      <c r="V245" s="90"/>
      <c r="W245" s="90"/>
    </row>
    <row r="246" spans="1:23" s="68" customFormat="1" ht="18.75">
      <c r="A246" s="90"/>
      <c r="B246" s="242"/>
      <c r="C246" s="37"/>
      <c r="D246" s="37"/>
      <c r="E246" s="243"/>
      <c r="F246" s="244"/>
      <c r="G246" s="88"/>
      <c r="H246" s="141"/>
      <c r="I246" s="141"/>
      <c r="J246" s="141"/>
      <c r="K246" s="141"/>
      <c r="L246" s="141"/>
      <c r="M246" s="141"/>
      <c r="N246" s="141"/>
      <c r="O246" s="141"/>
      <c r="P246" s="146"/>
      <c r="Q246" s="146"/>
      <c r="R246" s="146"/>
      <c r="S246" s="142"/>
      <c r="T246" s="38"/>
      <c r="U246" s="90"/>
      <c r="V246" s="90"/>
      <c r="W246" s="90"/>
    </row>
    <row r="247" spans="1:23" s="68" customFormat="1" ht="54.75" customHeight="1">
      <c r="A247" s="90"/>
      <c r="B247" s="242"/>
      <c r="C247" s="38"/>
      <c r="D247" s="245"/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6"/>
      <c r="P247" s="245"/>
      <c r="Q247" s="245"/>
      <c r="R247" s="245"/>
      <c r="S247" s="245"/>
      <c r="T247" s="240"/>
      <c r="U247" s="90"/>
      <c r="V247" s="90"/>
      <c r="W247" s="90"/>
    </row>
    <row r="248" spans="1:23" s="68" customFormat="1" ht="24" customHeight="1">
      <c r="A248" s="90"/>
      <c r="B248" s="90"/>
      <c r="C248" s="4"/>
      <c r="D248" s="245"/>
      <c r="E248" s="245"/>
      <c r="F248" s="245"/>
      <c r="G248" s="245"/>
      <c r="H248" s="245"/>
      <c r="I248" s="245"/>
      <c r="J248" s="245"/>
      <c r="K248" s="38"/>
      <c r="L248" s="38"/>
      <c r="M248" s="38"/>
      <c r="N248" s="38"/>
      <c r="O248" s="38"/>
      <c r="P248" s="247"/>
      <c r="Q248" s="247"/>
      <c r="R248" s="247"/>
      <c r="S248" s="38"/>
      <c r="T248" s="38"/>
      <c r="U248" s="90"/>
      <c r="V248" s="90"/>
      <c r="W248" s="90"/>
    </row>
    <row r="249" spans="1:23" s="68" customFormat="1" ht="24" customHeight="1">
      <c r="A249" s="90"/>
      <c r="B249" s="242"/>
      <c r="C249" s="39"/>
      <c r="D249" s="38"/>
      <c r="E249" s="37"/>
      <c r="F249" s="38"/>
      <c r="G249" s="38"/>
      <c r="H249" s="248"/>
      <c r="I249" s="142"/>
      <c r="J249" s="142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90"/>
      <c r="V249" s="90"/>
      <c r="W249" s="90"/>
    </row>
    <row r="250" spans="1:23" s="68" customFormat="1" ht="24" customHeight="1">
      <c r="A250" s="90"/>
      <c r="B250" s="242"/>
      <c r="C250" s="39"/>
      <c r="D250" s="38"/>
      <c r="E250" s="37"/>
      <c r="F250" s="38"/>
      <c r="G250" s="38"/>
      <c r="H250" s="248"/>
      <c r="I250" s="142"/>
      <c r="J250" s="142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90"/>
      <c r="V250" s="90"/>
      <c r="W250" s="90"/>
    </row>
    <row r="251" spans="1:23" s="68" customFormat="1" ht="24" customHeight="1">
      <c r="A251" s="90"/>
      <c r="B251" s="242"/>
      <c r="C251" s="39"/>
      <c r="D251" s="38"/>
      <c r="E251" s="37"/>
      <c r="F251" s="38"/>
      <c r="G251" s="38"/>
      <c r="H251" s="248"/>
      <c r="I251" s="142"/>
      <c r="J251" s="142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90"/>
      <c r="V251" s="90"/>
      <c r="W251" s="90"/>
    </row>
    <row r="252" spans="1:23" s="68" customFormat="1" ht="24" customHeight="1">
      <c r="A252" s="90"/>
      <c r="B252" s="242"/>
      <c r="C252" s="39"/>
      <c r="D252" s="38"/>
      <c r="E252" s="37"/>
      <c r="F252" s="38"/>
      <c r="G252" s="38"/>
      <c r="H252" s="248"/>
      <c r="I252" s="142"/>
      <c r="J252" s="142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90"/>
      <c r="V252" s="90"/>
      <c r="W252" s="90"/>
    </row>
    <row r="253" spans="1:23" s="68" customFormat="1" ht="24" customHeight="1">
      <c r="A253" s="90"/>
      <c r="B253" s="242"/>
      <c r="C253" s="39"/>
      <c r="D253" s="38"/>
      <c r="E253" s="37"/>
      <c r="F253" s="38"/>
      <c r="G253" s="38"/>
      <c r="H253" s="248"/>
      <c r="I253" s="142"/>
      <c r="J253" s="142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90"/>
      <c r="V253" s="90"/>
      <c r="W253" s="90"/>
    </row>
    <row r="254" spans="1:23" s="68" customFormat="1" ht="24" customHeight="1">
      <c r="A254" s="90"/>
      <c r="B254" s="242"/>
      <c r="C254" s="39"/>
      <c r="D254" s="38"/>
      <c r="E254" s="37"/>
      <c r="F254" s="38"/>
      <c r="G254" s="38"/>
      <c r="H254" s="248"/>
      <c r="I254" s="142"/>
      <c r="J254" s="142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90"/>
      <c r="V254" s="90"/>
      <c r="W254" s="90"/>
    </row>
    <row r="255" spans="1:23" s="68" customFormat="1" ht="24" customHeight="1">
      <c r="A255" s="90"/>
      <c r="B255" s="238"/>
      <c r="C255" s="39"/>
      <c r="D255" s="38"/>
      <c r="E255" s="37"/>
      <c r="F255" s="38"/>
      <c r="G255" s="38"/>
      <c r="H255" s="248"/>
      <c r="I255" s="142"/>
      <c r="J255" s="142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90"/>
      <c r="V255" s="90"/>
      <c r="W255" s="90"/>
    </row>
    <row r="256" spans="1:23" s="68" customFormat="1" ht="24" customHeight="1">
      <c r="A256" s="90"/>
      <c r="B256" s="238"/>
      <c r="C256" s="39"/>
      <c r="D256" s="38"/>
      <c r="E256" s="37"/>
      <c r="F256" s="38"/>
      <c r="G256" s="38"/>
      <c r="H256" s="248"/>
      <c r="I256" s="142"/>
      <c r="J256" s="142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90"/>
      <c r="V256" s="90"/>
      <c r="W256" s="90"/>
    </row>
    <row r="257" spans="1:23" s="68" customFormat="1" ht="24" customHeight="1">
      <c r="A257" s="90"/>
      <c r="B257" s="238"/>
      <c r="C257" s="39"/>
      <c r="D257" s="38"/>
      <c r="E257" s="37"/>
      <c r="F257" s="38"/>
      <c r="G257" s="38"/>
      <c r="H257" s="248"/>
      <c r="I257" s="142"/>
      <c r="J257" s="142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90"/>
      <c r="V257" s="90"/>
      <c r="W257" s="90"/>
    </row>
    <row r="258" spans="1:23" s="68" customFormat="1" ht="24" customHeight="1">
      <c r="A258" s="90"/>
      <c r="B258" s="238"/>
      <c r="C258" s="39"/>
      <c r="D258" s="38"/>
      <c r="E258" s="37"/>
      <c r="F258" s="38"/>
      <c r="G258" s="38"/>
      <c r="H258" s="248"/>
      <c r="I258" s="142"/>
      <c r="J258" s="142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90"/>
      <c r="V258" s="90"/>
      <c r="W258" s="90"/>
    </row>
    <row r="259" spans="1:23" s="68" customFormat="1" ht="24" customHeight="1">
      <c r="A259" s="90"/>
      <c r="B259" s="238"/>
      <c r="C259" s="39"/>
      <c r="D259" s="38"/>
      <c r="E259" s="37"/>
      <c r="F259" s="38"/>
      <c r="G259" s="38"/>
      <c r="H259" s="248"/>
      <c r="I259" s="142"/>
      <c r="J259" s="142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90"/>
      <c r="V259" s="90"/>
      <c r="W259" s="90"/>
    </row>
    <row r="260" spans="1:23" s="68" customFormat="1" ht="24" customHeight="1">
      <c r="A260" s="90"/>
      <c r="B260" s="238"/>
      <c r="C260" s="39"/>
      <c r="D260" s="38"/>
      <c r="E260" s="37"/>
      <c r="F260" s="38"/>
      <c r="G260" s="38"/>
      <c r="H260" s="248"/>
      <c r="I260" s="142"/>
      <c r="J260" s="142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90"/>
      <c r="V260" s="90"/>
      <c r="W260" s="90"/>
    </row>
    <row r="261" spans="1:23" s="68" customFormat="1" ht="24" customHeight="1">
      <c r="A261" s="90"/>
      <c r="B261" s="238"/>
      <c r="C261" s="39"/>
      <c r="D261" s="38"/>
      <c r="E261" s="37"/>
      <c r="F261" s="38"/>
      <c r="G261" s="38"/>
      <c r="H261" s="248"/>
      <c r="I261" s="142"/>
      <c r="J261" s="142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90"/>
      <c r="V261" s="90"/>
      <c r="W261" s="90"/>
    </row>
    <row r="262" spans="1:23" s="68" customFormat="1" ht="24" customHeight="1">
      <c r="A262" s="90"/>
      <c r="B262" s="238"/>
      <c r="C262" s="39"/>
      <c r="D262" s="38"/>
      <c r="E262" s="37"/>
      <c r="F262" s="38"/>
      <c r="G262" s="38"/>
      <c r="H262" s="248"/>
      <c r="I262" s="142"/>
      <c r="J262" s="142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90"/>
      <c r="V262" s="90"/>
      <c r="W262" s="90"/>
    </row>
    <row r="263" spans="1:23" s="68" customFormat="1" ht="24" customHeight="1">
      <c r="A263" s="90"/>
      <c r="B263" s="238"/>
      <c r="C263" s="39"/>
      <c r="D263" s="38"/>
      <c r="E263" s="37"/>
      <c r="F263" s="38"/>
      <c r="G263" s="38"/>
      <c r="H263" s="248"/>
      <c r="I263" s="142"/>
      <c r="J263" s="142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90"/>
      <c r="V263" s="90"/>
      <c r="W263" s="90"/>
    </row>
    <row r="264" spans="1:23" s="68" customFormat="1" ht="24" customHeight="1">
      <c r="A264" s="90"/>
      <c r="B264" s="238"/>
      <c r="C264" s="39"/>
      <c r="D264" s="38"/>
      <c r="E264" s="37"/>
      <c r="F264" s="38"/>
      <c r="G264" s="38"/>
      <c r="H264" s="248"/>
      <c r="I264" s="142"/>
      <c r="J264" s="142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90"/>
      <c r="V264" s="90"/>
      <c r="W264" s="90"/>
    </row>
    <row r="265" spans="1:23" s="68" customFormat="1" ht="24" customHeight="1">
      <c r="A265" s="90"/>
      <c r="B265" s="238"/>
      <c r="C265" s="39"/>
      <c r="D265" s="38"/>
      <c r="E265" s="37"/>
      <c r="F265" s="38"/>
      <c r="G265" s="38"/>
      <c r="H265" s="248"/>
      <c r="I265" s="142"/>
      <c r="J265" s="142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90"/>
      <c r="V265" s="90"/>
      <c r="W265" s="90"/>
    </row>
    <row r="266" spans="1:23" s="68" customFormat="1" ht="24" customHeight="1">
      <c r="A266" s="90"/>
      <c r="B266" s="238"/>
      <c r="C266" s="39"/>
      <c r="D266" s="38"/>
      <c r="E266" s="37"/>
      <c r="F266" s="38"/>
      <c r="G266" s="38"/>
      <c r="H266" s="248"/>
      <c r="I266" s="142"/>
      <c r="J266" s="142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90"/>
      <c r="V266" s="90"/>
      <c r="W266" s="90"/>
    </row>
    <row r="267" spans="1:23" s="68" customFormat="1" ht="24" customHeight="1">
      <c r="A267" s="90"/>
      <c r="B267" s="238"/>
      <c r="C267" s="39"/>
      <c r="D267" s="38"/>
      <c r="E267" s="37"/>
      <c r="F267" s="38"/>
      <c r="G267" s="38"/>
      <c r="H267" s="248"/>
      <c r="I267" s="142"/>
      <c r="J267" s="142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90"/>
      <c r="V267" s="90"/>
      <c r="W267" s="90"/>
    </row>
    <row r="268" spans="1:23" s="68" customFormat="1" ht="24" customHeight="1">
      <c r="A268" s="90"/>
      <c r="B268" s="238"/>
      <c r="C268" s="39"/>
      <c r="D268" s="38"/>
      <c r="E268" s="37"/>
      <c r="F268" s="38"/>
      <c r="G268" s="38"/>
      <c r="H268" s="248"/>
      <c r="I268" s="142"/>
      <c r="J268" s="142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90"/>
      <c r="V268" s="90"/>
      <c r="W268" s="90"/>
    </row>
    <row r="269" spans="1:23" s="68" customFormat="1" ht="24" customHeight="1">
      <c r="A269" s="90"/>
      <c r="B269" s="238"/>
      <c r="C269" s="39"/>
      <c r="D269" s="38"/>
      <c r="E269" s="37"/>
      <c r="F269" s="38"/>
      <c r="G269" s="38"/>
      <c r="H269" s="248"/>
      <c r="I269" s="142"/>
      <c r="J269" s="142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90"/>
      <c r="V269" s="90"/>
      <c r="W269" s="90"/>
    </row>
    <row r="270" spans="1:23" s="68" customFormat="1" ht="24" customHeight="1">
      <c r="A270" s="90"/>
      <c r="B270" s="238"/>
      <c r="C270" s="39"/>
      <c r="D270" s="38"/>
      <c r="E270" s="37"/>
      <c r="F270" s="38"/>
      <c r="G270" s="38"/>
      <c r="H270" s="248"/>
      <c r="I270" s="142"/>
      <c r="J270" s="142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90"/>
      <c r="V270" s="90"/>
      <c r="W270" s="90"/>
    </row>
    <row r="271" spans="1:23" s="68" customFormat="1" ht="24" customHeight="1">
      <c r="A271" s="90"/>
      <c r="B271" s="238"/>
      <c r="C271" s="39"/>
      <c r="D271" s="38"/>
      <c r="E271" s="37"/>
      <c r="F271" s="38"/>
      <c r="G271" s="38"/>
      <c r="H271" s="248"/>
      <c r="I271" s="142"/>
      <c r="J271" s="142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90"/>
      <c r="V271" s="90"/>
      <c r="W271" s="90"/>
    </row>
    <row r="272" spans="1:23" s="68" customFormat="1" ht="24" customHeight="1">
      <c r="A272" s="90"/>
      <c r="B272" s="238"/>
      <c r="C272" s="39"/>
      <c r="D272" s="38"/>
      <c r="E272" s="37"/>
      <c r="F272" s="38"/>
      <c r="G272" s="38"/>
      <c r="H272" s="248"/>
      <c r="I272" s="142"/>
      <c r="J272" s="142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90"/>
      <c r="V272" s="90"/>
      <c r="W272" s="90"/>
    </row>
    <row r="273" spans="1:23" s="68" customFormat="1" ht="24" customHeight="1">
      <c r="A273" s="90"/>
      <c r="B273" s="238"/>
      <c r="C273" s="39"/>
      <c r="D273" s="38"/>
      <c r="E273" s="37"/>
      <c r="F273" s="38"/>
      <c r="G273" s="38"/>
      <c r="H273" s="248"/>
      <c r="I273" s="142"/>
      <c r="J273" s="142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90"/>
      <c r="V273" s="90"/>
      <c r="W273" s="90"/>
    </row>
    <row r="274" spans="1:23" s="68" customFormat="1" ht="24" customHeight="1">
      <c r="A274" s="90"/>
      <c r="B274" s="238"/>
      <c r="C274" s="39"/>
      <c r="D274" s="38"/>
      <c r="E274" s="37"/>
      <c r="F274" s="38"/>
      <c r="G274" s="38"/>
      <c r="H274" s="248"/>
      <c r="I274" s="142"/>
      <c r="J274" s="142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90"/>
      <c r="V274" s="90"/>
      <c r="W274" s="90"/>
    </row>
    <row r="275" spans="1:23" s="68" customFormat="1" ht="24" customHeight="1">
      <c r="A275" s="90"/>
      <c r="B275" s="238"/>
      <c r="C275" s="39"/>
      <c r="D275" s="38"/>
      <c r="E275" s="37"/>
      <c r="F275" s="38"/>
      <c r="G275" s="38"/>
      <c r="H275" s="248"/>
      <c r="I275" s="142"/>
      <c r="J275" s="142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90"/>
      <c r="V275" s="90"/>
      <c r="W275" s="90"/>
    </row>
    <row r="276" spans="1:23" s="68" customFormat="1" ht="24" customHeight="1">
      <c r="A276" s="90"/>
      <c r="B276" s="238"/>
      <c r="C276" s="39"/>
      <c r="D276" s="38"/>
      <c r="E276" s="37"/>
      <c r="F276" s="38"/>
      <c r="G276" s="38"/>
      <c r="H276" s="248"/>
      <c r="I276" s="142"/>
      <c r="J276" s="142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90"/>
      <c r="V276" s="90"/>
      <c r="W276" s="90"/>
    </row>
    <row r="277" spans="1:23" s="68" customFormat="1" ht="24" customHeight="1">
      <c r="A277" s="90"/>
      <c r="B277" s="238"/>
      <c r="C277" s="39"/>
      <c r="D277" s="38"/>
      <c r="E277" s="37"/>
      <c r="F277" s="38"/>
      <c r="G277" s="38"/>
      <c r="H277" s="248"/>
      <c r="I277" s="142"/>
      <c r="J277" s="142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90"/>
      <c r="V277" s="90"/>
      <c r="W277" s="90"/>
    </row>
    <row r="278" spans="1:23" s="68" customFormat="1" ht="24" customHeight="1">
      <c r="A278" s="90"/>
      <c r="B278" s="238"/>
      <c r="C278" s="39"/>
      <c r="D278" s="38"/>
      <c r="E278" s="37"/>
      <c r="F278" s="38"/>
      <c r="G278" s="38"/>
      <c r="H278" s="248"/>
      <c r="I278" s="142"/>
      <c r="J278" s="142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90"/>
      <c r="V278" s="90"/>
      <c r="W278" s="90"/>
    </row>
    <row r="279" spans="1:23" s="68" customFormat="1" ht="24" customHeight="1">
      <c r="A279" s="90"/>
      <c r="B279" s="238"/>
      <c r="C279" s="39"/>
      <c r="D279" s="38"/>
      <c r="E279" s="37"/>
      <c r="F279" s="38"/>
      <c r="G279" s="38"/>
      <c r="H279" s="248"/>
      <c r="I279" s="142"/>
      <c r="J279" s="142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90"/>
      <c r="V279" s="90"/>
      <c r="W279" s="90"/>
    </row>
    <row r="280" spans="1:23" s="68" customFormat="1" ht="24" customHeight="1">
      <c r="A280" s="90"/>
      <c r="B280" s="238"/>
      <c r="C280" s="39"/>
      <c r="D280" s="38"/>
      <c r="E280" s="37"/>
      <c r="F280" s="38"/>
      <c r="G280" s="38"/>
      <c r="H280" s="248"/>
      <c r="I280" s="142"/>
      <c r="J280" s="142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90"/>
      <c r="V280" s="90"/>
      <c r="W280" s="90"/>
    </row>
    <row r="281" spans="1:23" s="68" customFormat="1" ht="24" customHeight="1">
      <c r="A281" s="90"/>
      <c r="B281" s="238"/>
      <c r="C281" s="39"/>
      <c r="D281" s="38"/>
      <c r="E281" s="37"/>
      <c r="F281" s="38"/>
      <c r="G281" s="38"/>
      <c r="H281" s="248"/>
      <c r="I281" s="142"/>
      <c r="J281" s="142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90"/>
      <c r="V281" s="90"/>
      <c r="W281" s="90"/>
    </row>
    <row r="282" spans="1:23" s="68" customFormat="1" ht="24" customHeight="1">
      <c r="A282" s="90"/>
      <c r="B282" s="238"/>
      <c r="C282" s="39"/>
      <c r="D282" s="38"/>
      <c r="E282" s="37"/>
      <c r="F282" s="38"/>
      <c r="G282" s="38"/>
      <c r="H282" s="248"/>
      <c r="I282" s="142"/>
      <c r="J282" s="142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90"/>
      <c r="V282" s="90"/>
      <c r="W282" s="90"/>
    </row>
    <row r="283" spans="1:23" s="68" customFormat="1" ht="24" customHeight="1">
      <c r="A283" s="90"/>
      <c r="B283" s="238"/>
      <c r="C283" s="39"/>
      <c r="D283" s="38"/>
      <c r="E283" s="37"/>
      <c r="F283" s="38"/>
      <c r="G283" s="38"/>
      <c r="H283" s="248"/>
      <c r="I283" s="142"/>
      <c r="J283" s="142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90"/>
      <c r="V283" s="90"/>
      <c r="W283" s="90"/>
    </row>
    <row r="284" spans="1:23" s="68" customFormat="1" ht="18">
      <c r="A284" s="90"/>
      <c r="B284" s="238"/>
      <c r="C284" s="37"/>
      <c r="D284" s="249"/>
      <c r="E284" s="249"/>
      <c r="F284" s="254"/>
      <c r="G284" s="254"/>
      <c r="H284" s="250"/>
      <c r="I284" s="142"/>
      <c r="J284" s="142"/>
      <c r="K284" s="142"/>
      <c r="L284" s="142"/>
      <c r="M284" s="254"/>
      <c r="N284" s="254"/>
      <c r="O284" s="254"/>
      <c r="P284" s="142"/>
      <c r="Q284" s="142"/>
      <c r="R284" s="142"/>
      <c r="S284" s="142"/>
      <c r="T284" s="38"/>
      <c r="U284" s="90"/>
      <c r="V284" s="90"/>
      <c r="W284" s="90"/>
    </row>
    <row r="285" spans="1:23" s="68" customFormat="1" ht="24" customHeight="1">
      <c r="A285" s="90"/>
      <c r="B285" s="90"/>
      <c r="C285" s="88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136"/>
      <c r="U285" s="90"/>
      <c r="V285" s="90"/>
      <c r="W285" s="90"/>
    </row>
    <row r="286" spans="1:23" s="68" customFormat="1" ht="24" customHeight="1">
      <c r="A286" s="90"/>
      <c r="B286" s="90"/>
      <c r="C286" s="88"/>
      <c r="D286" s="37"/>
      <c r="E286" s="37"/>
      <c r="F286" s="37"/>
      <c r="G286" s="37"/>
      <c r="H286" s="38"/>
      <c r="I286" s="38"/>
      <c r="J286" s="38"/>
      <c r="Q286" s="38"/>
      <c r="R286" s="38"/>
      <c r="S286" s="38"/>
      <c r="T286" s="90"/>
      <c r="U286" s="90"/>
      <c r="V286" s="90"/>
      <c r="W286" s="90"/>
    </row>
    <row r="287" spans="1:23" s="68" customFormat="1" ht="24" customHeight="1">
      <c r="A287" s="90"/>
      <c r="B287" s="90"/>
      <c r="C287" s="88"/>
      <c r="D287" s="37"/>
      <c r="E287" s="37"/>
      <c r="F287" s="37"/>
      <c r="G287" s="37"/>
      <c r="H287" s="38"/>
      <c r="I287" s="38"/>
      <c r="J287" s="38"/>
      <c r="K287" s="251"/>
      <c r="L287" s="251"/>
      <c r="M287" s="251"/>
      <c r="N287" s="251"/>
      <c r="O287" s="251"/>
      <c r="P287" s="38"/>
      <c r="Q287" s="38"/>
      <c r="R287" s="38"/>
      <c r="S287" s="38"/>
      <c r="T287" s="90"/>
      <c r="U287" s="90"/>
      <c r="V287" s="90"/>
      <c r="W287" s="90"/>
    </row>
    <row r="288" spans="1:23" s="68" customFormat="1" ht="24" customHeight="1">
      <c r="A288" s="90"/>
      <c r="B288" s="90"/>
      <c r="C288" s="88"/>
      <c r="D288" s="37"/>
      <c r="E288" s="37"/>
      <c r="F288" s="37"/>
      <c r="G288" s="37"/>
      <c r="H288" s="37"/>
      <c r="I288" s="37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90"/>
      <c r="U288" s="90"/>
      <c r="V288" s="90"/>
      <c r="W288" s="90"/>
    </row>
    <row r="289" spans="1:23" s="68" customFormat="1" ht="24" customHeight="1">
      <c r="A289" s="90"/>
      <c r="B289" s="90"/>
      <c r="C289" s="88"/>
      <c r="D289" s="37"/>
      <c r="E289" s="37"/>
      <c r="F289" s="37"/>
      <c r="G289" s="37"/>
      <c r="H289" s="37"/>
      <c r="I289" s="37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90"/>
      <c r="U289" s="90"/>
      <c r="V289" s="90"/>
      <c r="W289" s="90"/>
    </row>
    <row r="290" spans="1:23" s="68" customFormat="1" ht="24" customHeight="1">
      <c r="A290" s="90"/>
      <c r="B290" s="90"/>
      <c r="C290" s="88"/>
      <c r="D290" s="37"/>
      <c r="E290" s="37"/>
      <c r="F290" s="37"/>
      <c r="G290" s="37"/>
      <c r="H290" s="37"/>
      <c r="I290" s="37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90"/>
      <c r="U290" s="90"/>
      <c r="V290" s="90"/>
      <c r="W290" s="90"/>
    </row>
    <row r="291" spans="1:23" s="68" customFormat="1" ht="24" customHeight="1">
      <c r="A291" s="90"/>
      <c r="B291" s="90"/>
      <c r="C291" s="88"/>
      <c r="D291" s="37"/>
      <c r="E291" s="37"/>
      <c r="F291" s="37"/>
      <c r="G291" s="37"/>
      <c r="H291" s="37"/>
      <c r="I291" s="37"/>
      <c r="J291" s="38"/>
      <c r="K291" s="38"/>
      <c r="L291" s="38"/>
      <c r="M291" s="38"/>
      <c r="N291" s="38"/>
      <c r="O291" s="38"/>
      <c r="P291" s="38"/>
      <c r="Q291" s="38"/>
      <c r="R291" s="38"/>
      <c r="T291" s="90"/>
      <c r="U291" s="90"/>
      <c r="V291" s="90"/>
      <c r="W291" s="90"/>
    </row>
    <row r="292" spans="1:23" s="68" customFormat="1" ht="24" customHeight="1">
      <c r="A292" s="90"/>
      <c r="B292" s="90"/>
      <c r="C292" s="88"/>
      <c r="D292" s="37"/>
      <c r="E292" s="37"/>
      <c r="F292" s="37"/>
      <c r="G292" s="37"/>
      <c r="H292" s="37"/>
      <c r="I292" s="37"/>
      <c r="J292" s="38"/>
      <c r="K292" s="38"/>
      <c r="L292" s="38"/>
      <c r="M292" s="38"/>
      <c r="N292" s="38"/>
      <c r="O292" s="38"/>
      <c r="P292" s="38"/>
      <c r="Q292" s="38"/>
      <c r="R292" s="38"/>
      <c r="T292" s="90"/>
      <c r="U292" s="90"/>
      <c r="V292" s="90"/>
      <c r="W292" s="90"/>
    </row>
    <row r="293" spans="1:23" s="68" customFormat="1" ht="24" customHeight="1">
      <c r="A293" s="90"/>
      <c r="B293" s="90"/>
      <c r="C293" s="88"/>
      <c r="D293" s="37"/>
      <c r="E293" s="37"/>
      <c r="F293" s="37"/>
      <c r="G293" s="37"/>
      <c r="H293" s="38"/>
      <c r="I293" s="38"/>
      <c r="J293" s="38"/>
      <c r="K293" s="38"/>
      <c r="L293" s="38"/>
      <c r="M293" s="38"/>
      <c r="N293" s="38"/>
      <c r="O293" s="252"/>
      <c r="P293" s="38"/>
      <c r="Q293" s="38"/>
      <c r="R293" s="38"/>
      <c r="T293" s="90"/>
      <c r="U293" s="90"/>
      <c r="V293" s="90"/>
      <c r="W293" s="90"/>
    </row>
    <row r="294" spans="1:23" s="68" customFormat="1" ht="24" customHeight="1">
      <c r="A294" s="90"/>
      <c r="B294" s="90"/>
      <c r="C294" s="88"/>
      <c r="D294" s="37"/>
      <c r="E294" s="37"/>
      <c r="F294" s="37"/>
      <c r="G294" s="37"/>
      <c r="H294" s="38"/>
      <c r="I294" s="38"/>
      <c r="J294" s="38"/>
      <c r="K294" s="38"/>
      <c r="L294" s="37"/>
      <c r="M294" s="37"/>
      <c r="N294" s="37"/>
      <c r="O294" s="54"/>
      <c r="P294" s="54"/>
      <c r="Q294" s="38"/>
      <c r="R294" s="38"/>
      <c r="T294" s="90"/>
      <c r="U294" s="90"/>
      <c r="V294" s="90"/>
      <c r="W294" s="90"/>
    </row>
    <row r="295" spans="1:20" s="68" customFormat="1" ht="24" customHeight="1">
      <c r="A295" s="90"/>
      <c r="H295" s="38"/>
      <c r="I295" s="38"/>
      <c r="J295" s="38"/>
      <c r="K295" s="38"/>
      <c r="L295" s="37"/>
      <c r="M295" s="37"/>
      <c r="N295" s="37"/>
      <c r="O295" s="54"/>
      <c r="P295" s="54"/>
      <c r="T295" s="90"/>
    </row>
    <row r="296" spans="1:20" s="68" customFormat="1" ht="24" customHeight="1">
      <c r="A296" s="90"/>
      <c r="H296" s="38"/>
      <c r="I296" s="38"/>
      <c r="J296" s="38"/>
      <c r="O296" s="55"/>
      <c r="P296" s="55"/>
      <c r="T296" s="90"/>
    </row>
    <row r="297" spans="1:20" s="68" customFormat="1" ht="24" customHeight="1">
      <c r="A297" s="90"/>
      <c r="T297" s="90"/>
    </row>
    <row r="298" ht="24" customHeight="1"/>
    <row r="299" ht="24" customHeight="1"/>
    <row r="300" ht="24" customHeight="1"/>
    <row r="301" ht="24" customHeight="1"/>
    <row r="302" ht="24" customHeight="1"/>
  </sheetData>
  <sheetProtection password="C100" sheet="1" objects="1" scenarios="1" selectLockedCells="1"/>
  <mergeCells count="68">
    <mergeCell ref="F44:G44"/>
    <mergeCell ref="V96:V100"/>
    <mergeCell ref="V101:W101"/>
    <mergeCell ref="V41:W41"/>
    <mergeCell ref="V42:W42"/>
    <mergeCell ref="V43:W43"/>
    <mergeCell ref="V44:W44"/>
    <mergeCell ref="K67:O67"/>
    <mergeCell ref="C65:C68"/>
    <mergeCell ref="K65:M65"/>
    <mergeCell ref="B66:B68"/>
    <mergeCell ref="R65:S65"/>
    <mergeCell ref="F104:G104"/>
    <mergeCell ref="G66:I66"/>
    <mergeCell ref="K66:N66"/>
    <mergeCell ref="O65:P65"/>
    <mergeCell ref="P67:S67"/>
    <mergeCell ref="V103:W103"/>
    <mergeCell ref="V104:W104"/>
    <mergeCell ref="K7:O7"/>
    <mergeCell ref="P7:S7"/>
    <mergeCell ref="V102:W102"/>
    <mergeCell ref="P66:R66"/>
    <mergeCell ref="V36:V40"/>
    <mergeCell ref="B6:B8"/>
    <mergeCell ref="C5:C8"/>
    <mergeCell ref="O5:P5"/>
    <mergeCell ref="P6:R6"/>
    <mergeCell ref="K6:N6"/>
    <mergeCell ref="H5:I5"/>
    <mergeCell ref="R5:S5"/>
    <mergeCell ref="K5:M5"/>
    <mergeCell ref="G6:I6"/>
    <mergeCell ref="B126:B128"/>
    <mergeCell ref="C125:C128"/>
    <mergeCell ref="H185:I185"/>
    <mergeCell ref="K126:N126"/>
    <mergeCell ref="K125:M125"/>
    <mergeCell ref="G126:I126"/>
    <mergeCell ref="H125:I125"/>
    <mergeCell ref="B186:B188"/>
    <mergeCell ref="C185:C188"/>
    <mergeCell ref="F164:G164"/>
    <mergeCell ref="G186:I186"/>
    <mergeCell ref="P186:R186"/>
    <mergeCell ref="K185:M185"/>
    <mergeCell ref="P126:R126"/>
    <mergeCell ref="R125:S125"/>
    <mergeCell ref="K186:N186"/>
    <mergeCell ref="K127:O127"/>
    <mergeCell ref="R185:S185"/>
    <mergeCell ref="O185:P185"/>
    <mergeCell ref="O125:P125"/>
    <mergeCell ref="P127:S127"/>
    <mergeCell ref="V221:W221"/>
    <mergeCell ref="V223:W223"/>
    <mergeCell ref="P187:S187"/>
    <mergeCell ref="K187:O187"/>
    <mergeCell ref="V224:W224"/>
    <mergeCell ref="H65:I65"/>
    <mergeCell ref="F224:G224"/>
    <mergeCell ref="V156:V160"/>
    <mergeCell ref="V161:W161"/>
    <mergeCell ref="V162:W162"/>
    <mergeCell ref="V163:W163"/>
    <mergeCell ref="V164:W164"/>
    <mergeCell ref="V216:V220"/>
    <mergeCell ref="V222:W222"/>
  </mergeCells>
  <conditionalFormatting sqref="T9:T43 T69:T103">
    <cfRule type="cellIs" priority="1" dxfId="2" operator="between" stopIfTrue="1">
      <formula>5</formula>
      <formula>4</formula>
    </cfRule>
    <cfRule type="cellIs" priority="2" dxfId="3" operator="lessThanOrEqual" stopIfTrue="1">
      <formula>2</formula>
    </cfRule>
    <cfRule type="cellIs" priority="3" dxfId="4" operator="equal" stopIfTrue="1">
      <formula>"н/а"</formula>
    </cfRule>
  </conditionalFormatting>
  <conditionalFormatting sqref="T129:T163">
    <cfRule type="cellIs" priority="4" dxfId="2" operator="between" stopIfTrue="1">
      <formula>5</formula>
      <formula>4</formula>
    </cfRule>
    <cfRule type="cellIs" priority="5" dxfId="3" operator="between" stopIfTrue="1">
      <formula>2</formula>
      <formula>1</formula>
    </cfRule>
    <cfRule type="cellIs" priority="6" dxfId="4" operator="equal" stopIfTrue="1">
      <formula>"н/а"</formula>
    </cfRule>
  </conditionalFormatting>
  <conditionalFormatting sqref="T189:T223">
    <cfRule type="cellIs" priority="7" dxfId="2" operator="between" stopIfTrue="1">
      <formula>5</formula>
      <formula>4</formula>
    </cfRule>
    <cfRule type="cellIs" priority="8" dxfId="3" operator="between" stopIfTrue="1">
      <formula>1</formula>
      <formula>2</formula>
    </cfRule>
    <cfRule type="cellIs" priority="9" dxfId="4" operator="equal" stopIfTrue="1">
      <formula>"н/а"</formula>
    </cfRule>
  </conditionalFormatting>
  <hyperlinks>
    <hyperlink ref="F6" location="'Классный журнал'!A6" display="Журнал-I четв"/>
    <hyperlink ref="F126" location="'Классный журнал'!A126" display="Журнал-9А"/>
    <hyperlink ref="F186" location="'Классный журнал'!A186" display="Журнал-9А"/>
    <hyperlink ref="F66" location="'Классный журнал'!A66" display="Журнал-II четв"/>
  </hyperlinks>
  <printOptions verticalCentered="1"/>
  <pageMargins left="0.4724409448818898" right="0.3937007874015748" top="0.35433070866141736" bottom="0.31496062992125984" header="0.2755905511811024" footer="0.15748031496062992"/>
  <pageSetup horizontalDpi="600" verticalDpi="600" orientation="landscape" paperSize="9" scale="48" r:id="rId2"/>
  <rowBreaks count="4" manualBreakCount="4">
    <brk id="63" max="23" man="1"/>
    <brk id="113" max="23" man="1"/>
    <brk id="174" max="23" man="1"/>
    <brk id="234" max="2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indexed="13"/>
  </sheetPr>
  <dimension ref="C2:AG59"/>
  <sheetViews>
    <sheetView zoomScale="75" zoomScaleNormal="75" workbookViewId="0" topLeftCell="A1">
      <selection activeCell="J5" sqref="J5:O5"/>
    </sheetView>
  </sheetViews>
  <sheetFormatPr defaultColWidth="9.00390625" defaultRowHeight="12.75"/>
  <cols>
    <col min="1" max="1" width="2.625" style="3" customWidth="1"/>
    <col min="2" max="2" width="4.375" style="3" hidden="1" customWidth="1"/>
    <col min="3" max="3" width="4.00390625" style="3" bestFit="1" customWidth="1"/>
    <col min="4" max="4" width="4.625" style="3" bestFit="1" customWidth="1"/>
    <col min="5" max="5" width="30.625" style="3" bestFit="1" customWidth="1"/>
    <col min="6" max="6" width="13.625" style="3" bestFit="1" customWidth="1"/>
    <col min="7" max="7" width="8.875" style="3" bestFit="1" customWidth="1"/>
    <col min="8" max="8" width="11.625" style="3" bestFit="1" customWidth="1"/>
    <col min="9" max="9" width="9.125" style="3" customWidth="1"/>
    <col min="10" max="10" width="9.625" style="3" bestFit="1" customWidth="1"/>
    <col min="11" max="11" width="5.875" style="3" bestFit="1" customWidth="1"/>
    <col min="12" max="12" width="4.75390625" style="3" bestFit="1" customWidth="1"/>
    <col min="13" max="14" width="5.125" style="3" bestFit="1" customWidth="1"/>
    <col min="15" max="15" width="4.75390625" style="3" bestFit="1" customWidth="1"/>
    <col min="16" max="16" width="11.875" style="3" bestFit="1" customWidth="1"/>
    <col min="17" max="17" width="11.75390625" style="3" bestFit="1" customWidth="1"/>
    <col min="18" max="18" width="7.75390625" style="3" bestFit="1" customWidth="1"/>
    <col min="19" max="19" width="8.375" style="3" bestFit="1" customWidth="1"/>
    <col min="20" max="20" width="9.125" style="3" customWidth="1"/>
    <col min="21" max="21" width="4.125" style="3" customWidth="1"/>
    <col min="22" max="30" width="4.125" style="0" customWidth="1"/>
  </cols>
  <sheetData>
    <row r="1" s="3" customFormat="1" ht="12.75"/>
    <row r="2" spans="4:26" s="3" customFormat="1" ht="21" thickBot="1">
      <c r="D2" s="40"/>
      <c r="E2" s="37"/>
      <c r="F2" s="171"/>
      <c r="G2" s="171"/>
      <c r="H2" s="171"/>
      <c r="I2" s="140"/>
      <c r="J2" s="172"/>
      <c r="K2" s="172"/>
      <c r="L2" s="172"/>
      <c r="M2" s="88"/>
      <c r="N2" s="88"/>
      <c r="O2" s="88"/>
      <c r="P2" s="88"/>
      <c r="Q2" s="37"/>
      <c r="R2" s="88"/>
      <c r="S2" s="88"/>
      <c r="T2" s="88"/>
      <c r="U2" s="88"/>
      <c r="V2" s="88"/>
      <c r="W2" s="88"/>
      <c r="X2" s="88"/>
      <c r="Y2" s="88"/>
      <c r="Z2" s="88"/>
    </row>
    <row r="3" spans="4:33" s="3" customFormat="1" ht="21.75" thickBot="1" thickTop="1">
      <c r="D3" s="187"/>
      <c r="E3" s="168" t="s">
        <v>246</v>
      </c>
      <c r="F3" s="169" t="s">
        <v>247</v>
      </c>
      <c r="G3" s="173" t="s">
        <v>248</v>
      </c>
      <c r="H3" s="283"/>
      <c r="I3" s="284"/>
      <c r="J3" s="284"/>
      <c r="K3" s="284"/>
      <c r="L3" s="284"/>
      <c r="M3" s="284"/>
      <c r="N3" s="284"/>
      <c r="O3" s="284"/>
      <c r="P3" s="284"/>
      <c r="Q3" s="285"/>
      <c r="R3" s="285"/>
      <c r="S3" s="286"/>
      <c r="T3" s="142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4:33" s="3" customFormat="1" ht="59.25" customHeight="1" thickBot="1" thickTop="1">
      <c r="D4" s="186"/>
      <c r="E4" s="360" t="s">
        <v>0</v>
      </c>
      <c r="F4" s="361"/>
      <c r="G4" s="362"/>
      <c r="H4" s="287"/>
      <c r="I4" s="239"/>
      <c r="J4" s="239"/>
      <c r="K4" s="239"/>
      <c r="L4" s="239"/>
      <c r="M4" s="239"/>
      <c r="N4" s="239"/>
      <c r="O4" s="239"/>
      <c r="P4" s="239"/>
      <c r="Q4" s="288"/>
      <c r="R4" s="288"/>
      <c r="S4" s="289"/>
      <c r="T4" s="142"/>
      <c r="U4" s="256"/>
      <c r="V4" s="256"/>
      <c r="W4" s="256"/>
      <c r="X4" s="256"/>
      <c r="Y4" s="256"/>
      <c r="Z4" s="256"/>
      <c r="AA4" s="256"/>
      <c r="AB4" s="256"/>
      <c r="AC4" s="257"/>
      <c r="AD4" s="257"/>
      <c r="AE4" s="257"/>
      <c r="AF4" s="257"/>
      <c r="AG4" s="88"/>
    </row>
    <row r="5" spans="4:33" ht="21" customHeight="1" thickBot="1" thickTop="1">
      <c r="D5" s="170"/>
      <c r="E5" s="188" t="s">
        <v>249</v>
      </c>
      <c r="F5" s="358" t="s">
        <v>250</v>
      </c>
      <c r="G5" s="359"/>
      <c r="H5" s="360" t="s">
        <v>254</v>
      </c>
      <c r="I5" s="361"/>
      <c r="J5" s="363" t="str">
        <f>'Классный журнал'!I183</f>
        <v>Иванова Н.П.</v>
      </c>
      <c r="K5" s="363"/>
      <c r="L5" s="363"/>
      <c r="M5" s="363"/>
      <c r="N5" s="363"/>
      <c r="O5" s="364"/>
      <c r="P5" s="33"/>
      <c r="Q5" s="290"/>
      <c r="R5" s="290"/>
      <c r="S5" s="291"/>
      <c r="T5" s="38"/>
      <c r="U5" s="256"/>
      <c r="V5" s="256"/>
      <c r="W5" s="256"/>
      <c r="X5" s="256"/>
      <c r="Y5" s="256"/>
      <c r="Z5" s="256"/>
      <c r="AA5" s="256"/>
      <c r="AB5" s="256"/>
      <c r="AC5" s="257"/>
      <c r="AD5" s="257"/>
      <c r="AE5" s="258"/>
      <c r="AF5" s="258"/>
      <c r="AG5" s="68"/>
    </row>
    <row r="6" spans="4:33" ht="18.75" thickTop="1">
      <c r="D6" s="9"/>
      <c r="E6" s="10">
        <f ca="1">NOW()</f>
        <v>39252.589404398146</v>
      </c>
      <c r="F6" s="11" t="s">
        <v>32</v>
      </c>
      <c r="G6" s="12"/>
      <c r="H6" s="343" t="s">
        <v>33</v>
      </c>
      <c r="I6" s="389"/>
      <c r="J6" s="13"/>
      <c r="K6" s="14"/>
      <c r="L6" s="14"/>
      <c r="M6" s="14"/>
      <c r="N6" s="14"/>
      <c r="O6" s="14"/>
      <c r="P6" s="338" t="s">
        <v>91</v>
      </c>
      <c r="Q6" s="339"/>
      <c r="R6" s="380"/>
      <c r="S6" s="143">
        <f>Статистика!S6+Статистика!S66+Статистика!S126+Статистика!S186</f>
        <v>67</v>
      </c>
      <c r="U6" s="256"/>
      <c r="V6" s="256"/>
      <c r="W6" s="256"/>
      <c r="X6" s="256"/>
      <c r="Y6" s="256"/>
      <c r="Z6" s="256"/>
      <c r="AA6" s="256"/>
      <c r="AB6" s="256"/>
      <c r="AC6" s="257"/>
      <c r="AD6" s="257"/>
      <c r="AE6" s="258"/>
      <c r="AF6" s="258"/>
      <c r="AG6" s="68"/>
    </row>
    <row r="7" spans="4:33" ht="46.5">
      <c r="D7" s="16" t="s">
        <v>1</v>
      </c>
      <c r="E7" s="17" t="str">
        <f>Статистика!E187</f>
        <v>Учащихся   31</v>
      </c>
      <c r="F7" s="17" t="s">
        <v>36</v>
      </c>
      <c r="G7" s="17" t="s">
        <v>37</v>
      </c>
      <c r="H7" s="17" t="s">
        <v>38</v>
      </c>
      <c r="I7" s="17"/>
      <c r="J7" s="17" t="s">
        <v>187</v>
      </c>
      <c r="K7" s="334" t="s">
        <v>245</v>
      </c>
      <c r="L7" s="381"/>
      <c r="M7" s="381"/>
      <c r="N7" s="382"/>
      <c r="O7" s="138" t="s">
        <v>86</v>
      </c>
      <c r="P7" s="334" t="s">
        <v>39</v>
      </c>
      <c r="Q7" s="335"/>
      <c r="R7" s="335"/>
      <c r="S7" s="383"/>
      <c r="U7" s="256"/>
      <c r="V7" s="256"/>
      <c r="W7" s="256"/>
      <c r="X7" s="256"/>
      <c r="Y7" s="256"/>
      <c r="Z7" s="256"/>
      <c r="AA7" s="256"/>
      <c r="AB7" s="256"/>
      <c r="AC7" s="257"/>
      <c r="AD7" s="257"/>
      <c r="AE7" s="258"/>
      <c r="AF7" s="258"/>
      <c r="AG7" s="68"/>
    </row>
    <row r="8" spans="4:33" ht="18">
      <c r="D8" s="16">
        <f>COUNTA(E9:E43)-COUNTBLANK(E9:E43)</f>
        <v>34</v>
      </c>
      <c r="E8" s="17" t="s">
        <v>2</v>
      </c>
      <c r="F8" s="17"/>
      <c r="G8" s="17"/>
      <c r="H8" s="17"/>
      <c r="I8" s="17"/>
      <c r="J8" s="17"/>
      <c r="K8" s="19" t="s">
        <v>87</v>
      </c>
      <c r="L8" s="19" t="s">
        <v>88</v>
      </c>
      <c r="M8" s="19" t="s">
        <v>89</v>
      </c>
      <c r="N8" s="19" t="s">
        <v>90</v>
      </c>
      <c r="O8" s="137"/>
      <c r="P8" s="20" t="s">
        <v>45</v>
      </c>
      <c r="Q8" s="20" t="s">
        <v>46</v>
      </c>
      <c r="R8" s="20" t="s">
        <v>47</v>
      </c>
      <c r="S8" s="21" t="s">
        <v>48</v>
      </c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68"/>
    </row>
    <row r="9" spans="3:33" ht="18">
      <c r="C9" s="292">
        <f>IF('Классный журнал'!C189="-",-1,IF('Классный журнал'!C189="+",1,""))</f>
      </c>
      <c r="D9" s="22">
        <v>1</v>
      </c>
      <c r="E9" s="50" t="str">
        <f>'Классный журнал'!E189</f>
        <v>Алексеева Настя</v>
      </c>
      <c r="F9" s="19">
        <f>IF(Статистика!E189="",0,Статистика!F9+Статистика!F69+Статистика!F129+Статистика!F189)</f>
        <v>34</v>
      </c>
      <c r="G9" s="19">
        <f>IF(Статистика!E189="",0,Статистика!G9+Статистика!G69+Статистика!G129+Статистика!G189)</f>
        <v>123</v>
      </c>
      <c r="H9" s="19">
        <f>IF(E9="","",IF(C9=-1,"",G9/F9))</f>
        <v>3.6176470588235294</v>
      </c>
      <c r="I9" s="19"/>
      <c r="J9" s="19">
        <f>IF(H9="","",RANK(H9,$H$9:$H$43,0))</f>
        <v>9</v>
      </c>
      <c r="K9" s="19">
        <f>Статистика!T9</f>
        <v>4</v>
      </c>
      <c r="L9" s="19">
        <f>Статистика!T69</f>
        <v>3</v>
      </c>
      <c r="M9" s="19">
        <f>Статистика!T129</f>
        <v>3</v>
      </c>
      <c r="N9" s="19">
        <f>Статистика!T189</f>
        <v>4</v>
      </c>
      <c r="O9" s="137">
        <f aca="true" t="shared" si="0" ref="O9:O43">IF(H9="","",IF(H9&gt;=4.8,5,IF(AND(3.7&lt;=H9,H9&lt;4.8),4,IF(AND(2.5&lt;=H9,H9&lt;3.7),3,IF(H9=0,"--",2)))))</f>
        <v>3</v>
      </c>
      <c r="P9" s="19">
        <f>IF(H9="","",Статистика!P9+Статистика!P69+Статистика!P129+Статистика!P189)</f>
        <v>0</v>
      </c>
      <c r="Q9" s="19">
        <f>IF(H9="","",Статистика!Q9+Статистика!Q69+Статистика!Q129+Статистика!Q189)</f>
        <v>0</v>
      </c>
      <c r="R9" s="19">
        <f>IF(H9="","",Статистика!R9+Статистика!R69+Статистика!R129+Статистика!R189)</f>
        <v>5</v>
      </c>
      <c r="S9" s="21">
        <f>IF(H9="","",SUM(P9:R9))</f>
        <v>5</v>
      </c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68"/>
      <c r="AF9" s="68"/>
      <c r="AG9" s="68"/>
    </row>
    <row r="10" spans="3:33" ht="18">
      <c r="C10" s="292">
        <f>IF('Классный журнал'!C190="-",-1,IF('Классный журнал'!C190="+",1,""))</f>
      </c>
      <c r="D10" s="22">
        <v>2</v>
      </c>
      <c r="E10" s="50" t="str">
        <f>'Классный журнал'!E190</f>
        <v>Богоутдинов Данил</v>
      </c>
      <c r="F10" s="19">
        <f>IF(Статистика!E190="",0,Статистика!F10+Статистика!F70+Статистика!F130+Статистика!F190)</f>
        <v>35</v>
      </c>
      <c r="G10" s="19">
        <f>IF(Статистика!E190="",0,Статистика!G10+Статистика!G70+Статистика!G130+Статистика!G190)</f>
        <v>119</v>
      </c>
      <c r="H10" s="19">
        <f aca="true" t="shared" si="1" ref="H10:H43">IF(E10="","",IF(C10=-1,"",G10/F10))</f>
        <v>3.4</v>
      </c>
      <c r="I10" s="19"/>
      <c r="J10" s="19">
        <f aca="true" t="shared" si="2" ref="J10:J43">IF(H10="","",RANK(H10,$H$9:$H$43,0))</f>
        <v>12</v>
      </c>
      <c r="K10" s="19">
        <f>Статистика!T10</f>
        <v>3</v>
      </c>
      <c r="L10" s="19">
        <f>Статистика!T70</f>
        <v>3</v>
      </c>
      <c r="M10" s="19">
        <f>Статистика!T130</f>
        <v>3</v>
      </c>
      <c r="N10" s="19">
        <f>Статистика!T190</f>
        <v>3</v>
      </c>
      <c r="O10" s="137">
        <f t="shared" si="0"/>
        <v>3</v>
      </c>
      <c r="P10" s="19">
        <f>IF(H10="","",Статистика!P10+Статистика!P70+Статистика!P130+Статистика!P190)</f>
        <v>4</v>
      </c>
      <c r="Q10" s="19">
        <f>IF(H10="","",Статистика!Q10+Статистика!Q70+Статистика!Q130+Статистика!Q190)</f>
        <v>4</v>
      </c>
      <c r="R10" s="19">
        <f>IF(H10="","",Статистика!R10+Статистика!R70+Статистика!R130+Статистика!R190)</f>
        <v>8</v>
      </c>
      <c r="S10" s="21">
        <f aca="true" t="shared" si="3" ref="S10:S43">IF(H10="","",SUM(P10:R10))</f>
        <v>16</v>
      </c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68"/>
      <c r="AF10" s="68"/>
      <c r="AG10" s="68"/>
    </row>
    <row r="11" spans="3:33" ht="18">
      <c r="C11" s="292">
        <f>IF('Классный журнал'!C191="-",-1,IF('Классный журнал'!C191="+",1,""))</f>
      </c>
      <c r="D11" s="22">
        <v>3</v>
      </c>
      <c r="E11" s="50" t="str">
        <f>'Классный журнал'!E191</f>
        <v>Бавеян Рафик</v>
      </c>
      <c r="F11" s="19">
        <f>IF(Статистика!E191="",0,Статистика!F11+Статистика!F71+Статистика!F131+Статистика!F191)</f>
        <v>32</v>
      </c>
      <c r="G11" s="19">
        <f>IF(Статистика!E191="",0,Статистика!G11+Статистика!G71+Статистика!G131+Статистика!G191)</f>
        <v>94</v>
      </c>
      <c r="H11" s="19">
        <f t="shared" si="1"/>
        <v>2.9375</v>
      </c>
      <c r="I11" s="19"/>
      <c r="J11" s="19">
        <f t="shared" si="2"/>
        <v>20</v>
      </c>
      <c r="K11" s="19">
        <f>Статистика!T11</f>
        <v>3</v>
      </c>
      <c r="L11" s="19">
        <f>Статистика!T71</f>
        <v>3</v>
      </c>
      <c r="M11" s="19">
        <f>Статистика!T131</f>
        <v>3</v>
      </c>
      <c r="N11" s="19">
        <f>Статистика!T191</f>
        <v>3</v>
      </c>
      <c r="O11" s="137">
        <f t="shared" si="0"/>
        <v>3</v>
      </c>
      <c r="P11" s="19">
        <f>IF(H11="","",Статистика!P11+Статистика!P71+Статистика!P131+Статистика!P191)</f>
        <v>8</v>
      </c>
      <c r="Q11" s="19">
        <f>IF(H11="","",Статистика!Q11+Статистика!Q71+Статистика!Q131+Статистика!Q191)</f>
        <v>0</v>
      </c>
      <c r="R11" s="19">
        <f>IF(H11="","",Статистика!R11+Статистика!R71+Статистика!R131+Статистика!R191)</f>
        <v>6</v>
      </c>
      <c r="S11" s="21">
        <f t="shared" si="3"/>
        <v>14</v>
      </c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68"/>
      <c r="AF11" s="68"/>
      <c r="AG11" s="68"/>
    </row>
    <row r="12" spans="3:33" ht="18">
      <c r="C12" s="292">
        <f>IF('Классный журнал'!C192="-",-1,IF('Классный журнал'!C192="+",1,""))</f>
      </c>
      <c r="D12" s="22">
        <v>4</v>
      </c>
      <c r="E12" s="50" t="str">
        <f>'Классный журнал'!E192</f>
        <v>Бахметьев Михаил</v>
      </c>
      <c r="F12" s="19">
        <f>IF(Статистика!E192="",0,Статистика!F12+Статистика!F72+Статистика!F132+Статистика!F192)</f>
        <v>41</v>
      </c>
      <c r="G12" s="19">
        <f>IF(Статистика!E192="",0,Статистика!G12+Статистика!G72+Статистика!G132+Статистика!G192)</f>
        <v>129</v>
      </c>
      <c r="H12" s="19">
        <f t="shared" si="1"/>
        <v>3.1463414634146343</v>
      </c>
      <c r="I12" s="19"/>
      <c r="J12" s="19">
        <f t="shared" si="2"/>
        <v>16</v>
      </c>
      <c r="K12" s="19">
        <f>Статистика!T12</f>
        <v>3</v>
      </c>
      <c r="L12" s="19">
        <f>Статистика!T72</f>
        <v>3</v>
      </c>
      <c r="M12" s="19">
        <f>Статистика!T132</f>
        <v>3</v>
      </c>
      <c r="N12" s="19">
        <f>Статистика!T192</f>
        <v>3</v>
      </c>
      <c r="O12" s="137">
        <f t="shared" si="0"/>
        <v>3</v>
      </c>
      <c r="P12" s="19">
        <f>IF(H12="","",Статистика!P12+Статистика!P72+Статистика!P132+Статистика!P192)</f>
        <v>0</v>
      </c>
      <c r="Q12" s="19">
        <f>IF(H12="","",Статистика!Q12+Статистика!Q72+Статистика!Q132+Статистика!Q192)</f>
        <v>0</v>
      </c>
      <c r="R12" s="19">
        <f>IF(H12="","",Статистика!R12+Статистика!R72+Статистика!R132+Статистика!R192)</f>
        <v>4</v>
      </c>
      <c r="S12" s="21">
        <f t="shared" si="3"/>
        <v>4</v>
      </c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68"/>
      <c r="AF12" s="68"/>
      <c r="AG12" s="68"/>
    </row>
    <row r="13" spans="3:33" ht="18">
      <c r="C13" s="292">
        <f>IF('Классный журнал'!C193="-",-1,IF('Классный журнал'!C193="+",1,""))</f>
        <v>-1</v>
      </c>
      <c r="D13" s="22">
        <v>5</v>
      </c>
      <c r="E13" s="50" t="str">
        <f>'Классный журнал'!E193</f>
        <v>Бузгин Иван</v>
      </c>
      <c r="F13" s="19">
        <f>IF(Статистика!E193="",0,Статистика!F13+Статистика!F73+Статистика!F133+Статистика!F193)</f>
        <v>0</v>
      </c>
      <c r="G13" s="19">
        <f>IF(Статистика!E193="",0,Статистика!G13+Статистика!G73+Статистика!G133+Статистика!G193)</f>
        <v>0</v>
      </c>
      <c r="H13" s="19">
        <f t="shared" si="1"/>
      </c>
      <c r="I13" s="19"/>
      <c r="J13" s="19">
        <f t="shared" si="2"/>
      </c>
      <c r="K13" s="19">
        <f>Статистика!T13</f>
      </c>
      <c r="L13" s="19">
        <f>Статистика!T73</f>
      </c>
      <c r="M13" s="19">
        <f>Статистика!T133</f>
      </c>
      <c r="N13" s="19">
        <f>Статистика!T193</f>
      </c>
      <c r="O13" s="137">
        <f>IF(H13="","",IF(H13&gt;=4.8,5,IF(AND(3.7&lt;=H13,H13&lt;4.8),4,IF(AND(2.5&lt;=H13,H13&lt;3.7),3,IF(H13=0,"--",2)))))</f>
      </c>
      <c r="P13" s="19">
        <f>IF(H13="","",Статистика!P13+Статистика!P73+Статистика!P133+Статистика!P193)</f>
      </c>
      <c r="Q13" s="19">
        <f>IF(H13="","",Статистика!Q13+Статистика!Q73+Статистика!Q133+Статистика!Q193)</f>
      </c>
      <c r="R13" s="19">
        <f>IF(H13="","",Статистика!R13+Статистика!R73+Статистика!R133+Статистика!R193)</f>
      </c>
      <c r="S13" s="21">
        <f t="shared" si="3"/>
      </c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68"/>
      <c r="AF13" s="68"/>
      <c r="AG13" s="68"/>
    </row>
    <row r="14" spans="3:33" ht="18">
      <c r="C14" s="292">
        <f>IF('Классный журнал'!C194="-",-1,IF('Классный журнал'!C194="+",1,""))</f>
      </c>
      <c r="D14" s="22">
        <v>6</v>
      </c>
      <c r="E14" s="50" t="str">
        <f>'Классный журнал'!E194</f>
        <v>Валеев Руслан</v>
      </c>
      <c r="F14" s="19">
        <f>IF(Статистика!E194="",0,Статистика!F14+Статистика!F74+Статистика!F134+Статистика!F194)</f>
        <v>36</v>
      </c>
      <c r="G14" s="19">
        <f>IF(Статистика!E194="",0,Статистика!G14+Статистика!G74+Статистика!G134+Статистика!G194)</f>
        <v>125</v>
      </c>
      <c r="H14" s="19">
        <f t="shared" si="1"/>
        <v>3.4722222222222223</v>
      </c>
      <c r="I14" s="19"/>
      <c r="J14" s="19">
        <f t="shared" si="2"/>
        <v>11</v>
      </c>
      <c r="K14" s="19">
        <f>Статистика!T14</f>
        <v>3</v>
      </c>
      <c r="L14" s="19">
        <f>Статистика!T74</f>
        <v>3</v>
      </c>
      <c r="M14" s="19">
        <f>Статистика!T134</f>
        <v>3</v>
      </c>
      <c r="N14" s="19">
        <f>Статистика!T194</f>
        <v>3</v>
      </c>
      <c r="O14" s="137">
        <f t="shared" si="0"/>
        <v>3</v>
      </c>
      <c r="P14" s="19">
        <f>IF(H14="","",Статистика!P14+Статистика!P74+Статистика!P134+Статистика!P194)</f>
        <v>0</v>
      </c>
      <c r="Q14" s="19">
        <f>IF(H14="","",Статистика!Q14+Статистика!Q74+Статистика!Q134+Статистика!Q194)</f>
        <v>0</v>
      </c>
      <c r="R14" s="19">
        <f>IF(H14="","",Статистика!R14+Статистика!R74+Статистика!R134+Статистика!R194)</f>
        <v>10</v>
      </c>
      <c r="S14" s="21">
        <f t="shared" si="3"/>
        <v>10</v>
      </c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68"/>
      <c r="AF14" s="68"/>
      <c r="AG14" s="68"/>
    </row>
    <row r="15" spans="3:33" ht="18">
      <c r="C15" s="292">
        <f>IF('Классный журнал'!C195="-",-1,IF('Классный журнал'!C195="+",1,""))</f>
      </c>
      <c r="D15" s="22">
        <v>7</v>
      </c>
      <c r="E15" s="50" t="str">
        <f>'Классный журнал'!E195</f>
        <v>Власов Владимир</v>
      </c>
      <c r="F15" s="19">
        <f>IF(Статистика!E195="",0,Статистика!F15+Статистика!F75+Статистика!F135+Статистика!F195)</f>
        <v>36</v>
      </c>
      <c r="G15" s="19">
        <f>IF(Статистика!E195="",0,Статистика!G15+Статистика!G75+Статистика!G135+Статистика!G195)</f>
        <v>96</v>
      </c>
      <c r="H15" s="19">
        <f t="shared" si="1"/>
        <v>2.6666666666666665</v>
      </c>
      <c r="I15" s="19"/>
      <c r="J15" s="19">
        <f t="shared" si="2"/>
        <v>27</v>
      </c>
      <c r="K15" s="19">
        <f>Статистика!T15</f>
        <v>2</v>
      </c>
      <c r="L15" s="19">
        <f>Статистика!T75</f>
        <v>3</v>
      </c>
      <c r="M15" s="19">
        <f>Статистика!T135</f>
        <v>3</v>
      </c>
      <c r="N15" s="19">
        <f>Статистика!T195</f>
        <v>3</v>
      </c>
      <c r="O15" s="137">
        <f t="shared" si="0"/>
        <v>3</v>
      </c>
      <c r="P15" s="19">
        <f>IF(H15="","",Статистика!P15+Статистика!P75+Статистика!P135+Статистика!P195)</f>
        <v>0</v>
      </c>
      <c r="Q15" s="19">
        <f>IF(H15="","",Статистика!Q15+Статистика!Q75+Статистика!Q135+Статистика!Q195)</f>
        <v>0</v>
      </c>
      <c r="R15" s="19">
        <f>IF(H15="","",Статистика!R15+Статистика!R75+Статистика!R135+Статистика!R195)</f>
        <v>4</v>
      </c>
      <c r="S15" s="21">
        <f t="shared" si="3"/>
        <v>4</v>
      </c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68"/>
      <c r="AF15" s="68"/>
      <c r="AG15" s="68"/>
    </row>
    <row r="16" spans="3:33" ht="18">
      <c r="C16" s="292">
        <f>IF('Классный журнал'!C196="-",-1,IF('Классный журнал'!C196="+",1,""))</f>
      </c>
      <c r="D16" s="22">
        <v>8</v>
      </c>
      <c r="E16" s="50" t="str">
        <f>'Классный журнал'!E196</f>
        <v>Головина Дарья</v>
      </c>
      <c r="F16" s="19">
        <f>IF(Статистика!E196="",0,Статистика!F16+Статистика!F76+Статистика!F136+Статистика!F196)</f>
        <v>33</v>
      </c>
      <c r="G16" s="19">
        <f>IF(Статистика!E196="",0,Статистика!G16+Статистика!G76+Статистика!G136+Статистика!G196)</f>
        <v>131</v>
      </c>
      <c r="H16" s="19">
        <f t="shared" si="1"/>
        <v>3.9696969696969697</v>
      </c>
      <c r="I16" s="19"/>
      <c r="J16" s="19">
        <f t="shared" si="2"/>
        <v>5</v>
      </c>
      <c r="K16" s="19">
        <f>Статистика!T16</f>
        <v>4</v>
      </c>
      <c r="L16" s="19">
        <f>Статистика!T76</f>
        <v>4</v>
      </c>
      <c r="M16" s="19">
        <f>Статистика!T136</f>
        <v>4</v>
      </c>
      <c r="N16" s="19">
        <f>Статистика!T196</f>
        <v>4</v>
      </c>
      <c r="O16" s="137">
        <f t="shared" si="0"/>
        <v>4</v>
      </c>
      <c r="P16" s="19">
        <f>IF(H16="","",Статистика!P16+Статистика!P76+Статистика!P136+Статистика!P196)</f>
        <v>0</v>
      </c>
      <c r="Q16" s="19">
        <f>IF(H16="","",Статистика!Q16+Статистика!Q76+Статистика!Q136+Статистика!Q196)</f>
        <v>0</v>
      </c>
      <c r="R16" s="19">
        <f>IF(H16="","",Статистика!R16+Статистика!R76+Статистика!R136+Статистика!R196)</f>
        <v>0</v>
      </c>
      <c r="S16" s="21">
        <f t="shared" si="3"/>
        <v>0</v>
      </c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68"/>
      <c r="AF16" s="68"/>
      <c r="AG16" s="68"/>
    </row>
    <row r="17" spans="3:33" ht="18">
      <c r="C17" s="292">
        <f>IF('Классный журнал'!C197="-",-1,IF('Классный журнал'!C197="+",1,""))</f>
        <v>-1</v>
      </c>
      <c r="D17" s="22">
        <v>9</v>
      </c>
      <c r="E17" s="50" t="str">
        <f>'Классный журнал'!E197</f>
        <v>Грачёв Михаил</v>
      </c>
      <c r="F17" s="19">
        <f>IF(Статистика!E197="",0,Статистика!F17+Статистика!F77+Статистика!F137+Статистика!F197)</f>
        <v>0</v>
      </c>
      <c r="G17" s="19">
        <f>IF(Статистика!E197="",0,Статистика!G17+Статистика!G77+Статистика!G137+Статистика!G197)</f>
        <v>0</v>
      </c>
      <c r="H17" s="19">
        <f t="shared" si="1"/>
      </c>
      <c r="I17" s="19"/>
      <c r="J17" s="19">
        <f t="shared" si="2"/>
      </c>
      <c r="K17" s="19">
        <f>Статистика!T17</f>
      </c>
      <c r="L17" s="19">
        <f>Статистика!T77</f>
      </c>
      <c r="M17" s="19">
        <f>Статистика!T137</f>
      </c>
      <c r="N17" s="19">
        <f>Статистика!T197</f>
      </c>
      <c r="O17" s="137">
        <f t="shared" si="0"/>
      </c>
      <c r="P17" s="19">
        <f>IF(H17="","",Статистика!P17+Статистика!P77+Статистика!P137+Статистика!P197)</f>
      </c>
      <c r="Q17" s="19">
        <f>IF(H17="","",Статистика!Q17+Статистика!Q77+Статистика!Q137+Статистика!Q197)</f>
      </c>
      <c r="R17" s="19">
        <f>IF(H17="","",Статистика!R17+Статистика!R77+Статистика!R137+Статистика!R197)</f>
      </c>
      <c r="S17" s="21">
        <f t="shared" si="3"/>
      </c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68"/>
      <c r="AF17" s="68"/>
      <c r="AG17" s="68"/>
    </row>
    <row r="18" spans="3:33" ht="18">
      <c r="C18" s="292">
        <f>IF('Классный журнал'!C198="-",-1,IF('Классный журнал'!C198="+",1,""))</f>
      </c>
      <c r="D18" s="22">
        <v>10</v>
      </c>
      <c r="E18" s="50" t="str">
        <f>'Классный журнал'!E198</f>
        <v>Добрынин Павел</v>
      </c>
      <c r="F18" s="19">
        <f>IF(Статистика!E198="",0,Статистика!F18+Статистика!F78+Статистика!F138+Статистика!F198)</f>
        <v>38</v>
      </c>
      <c r="G18" s="19">
        <f>IF(Статистика!E198="",0,Статистика!G18+Статистика!G78+Статистика!G138+Статистика!G198)</f>
        <v>140</v>
      </c>
      <c r="H18" s="19">
        <f t="shared" si="1"/>
        <v>3.6842105263157894</v>
      </c>
      <c r="I18" s="19"/>
      <c r="J18" s="19">
        <f t="shared" si="2"/>
        <v>7</v>
      </c>
      <c r="K18" s="19">
        <f>Статистика!T18</f>
        <v>4</v>
      </c>
      <c r="L18" s="19">
        <f>Статистика!T78</f>
        <v>4</v>
      </c>
      <c r="M18" s="19">
        <f>Статистика!T138</f>
        <v>3</v>
      </c>
      <c r="N18" s="19">
        <f>Статистика!T198</f>
        <v>4</v>
      </c>
      <c r="O18" s="137">
        <f t="shared" si="0"/>
        <v>3</v>
      </c>
      <c r="P18" s="19">
        <f>IF(H18="","",Статистика!P18+Статистика!P78+Статистика!P138+Статистика!P198)</f>
        <v>0</v>
      </c>
      <c r="Q18" s="19">
        <f>IF(H18="","",Статистика!Q18+Статистика!Q78+Статистика!Q138+Статистика!Q198)</f>
        <v>0</v>
      </c>
      <c r="R18" s="19">
        <f>IF(H18="","",Статистика!R18+Статистика!R78+Статистика!R138+Статистика!R198)</f>
        <v>0</v>
      </c>
      <c r="S18" s="21">
        <f t="shared" si="3"/>
        <v>0</v>
      </c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68"/>
      <c r="AF18" s="68"/>
      <c r="AG18" s="68"/>
    </row>
    <row r="19" spans="3:33" ht="18">
      <c r="C19" s="292">
        <f>IF('Классный журнал'!C199="-",-1,IF('Классный журнал'!C199="+",1,""))</f>
      </c>
      <c r="D19" s="22">
        <v>11</v>
      </c>
      <c r="E19" s="50" t="str">
        <f>'Классный журнал'!E199</f>
        <v>Жарков Егор</v>
      </c>
      <c r="F19" s="19">
        <f>IF(Статистика!E199="",0,Статистика!F19+Статистика!F79+Статистика!F139+Статистика!F199)</f>
        <v>40</v>
      </c>
      <c r="G19" s="19">
        <f>IF(Статистика!E199="",0,Статистика!G19+Статистика!G79+Статистика!G139+Статистика!G199)</f>
        <v>140</v>
      </c>
      <c r="H19" s="19">
        <f t="shared" si="1"/>
        <v>3.5</v>
      </c>
      <c r="I19" s="19"/>
      <c r="J19" s="19">
        <f t="shared" si="2"/>
        <v>10</v>
      </c>
      <c r="K19" s="19">
        <f>Статистика!T19</f>
        <v>3</v>
      </c>
      <c r="L19" s="19">
        <f>Статистика!T79</f>
        <v>3</v>
      </c>
      <c r="M19" s="19">
        <f>Статистика!T139</f>
        <v>3</v>
      </c>
      <c r="N19" s="19">
        <f>Статистика!T199</f>
        <v>3</v>
      </c>
      <c r="O19" s="137">
        <f t="shared" si="0"/>
        <v>3</v>
      </c>
      <c r="P19" s="19">
        <f>IF(H19="","",Статистика!P19+Статистика!P79+Статистика!P139+Статистика!P199)</f>
        <v>0</v>
      </c>
      <c r="Q19" s="19">
        <f>IF(H19="","",Статистика!Q19+Статистика!Q79+Статистика!Q139+Статистика!Q199)</f>
        <v>0</v>
      </c>
      <c r="R19" s="19">
        <f>IF(H19="","",Статистика!R19+Статистика!R79+Статистика!R139+Статистика!R199)</f>
        <v>1</v>
      </c>
      <c r="S19" s="21">
        <f t="shared" si="3"/>
        <v>1</v>
      </c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68"/>
      <c r="AF19" s="68"/>
      <c r="AG19" s="68"/>
    </row>
    <row r="20" spans="3:33" ht="18">
      <c r="C20" s="292">
        <f>IF('Классный журнал'!C200="-",-1,IF('Классный журнал'!C200="+",1,""))</f>
      </c>
      <c r="D20" s="22">
        <v>12</v>
      </c>
      <c r="E20" s="50" t="str">
        <f>'Классный журнал'!E200</f>
        <v>Заева Владлена</v>
      </c>
      <c r="F20" s="19">
        <f>IF(Статистика!E200="",0,Статистика!F20+Статистика!F80+Статистика!F140+Статистика!F200)</f>
        <v>36</v>
      </c>
      <c r="G20" s="19">
        <f>IF(Статистика!E200="",0,Статистика!G20+Статистика!G80+Статистика!G140+Статистика!G200)</f>
        <v>133</v>
      </c>
      <c r="H20" s="19">
        <f t="shared" si="1"/>
        <v>3.6944444444444446</v>
      </c>
      <c r="I20" s="19"/>
      <c r="J20" s="19">
        <f t="shared" si="2"/>
        <v>6</v>
      </c>
      <c r="K20" s="19">
        <f>Статистика!T20</f>
        <v>4</v>
      </c>
      <c r="L20" s="19">
        <f>Статистика!T80</f>
        <v>3</v>
      </c>
      <c r="M20" s="19">
        <f>Статистика!T140</f>
        <v>3</v>
      </c>
      <c r="N20" s="19">
        <f>Статистика!T200</f>
        <v>4</v>
      </c>
      <c r="O20" s="137">
        <f t="shared" si="0"/>
        <v>3</v>
      </c>
      <c r="P20" s="19">
        <f>IF(H20="","",Статистика!P20+Статистика!P80+Статистика!P140+Статистика!P200)</f>
        <v>0</v>
      </c>
      <c r="Q20" s="19">
        <f>IF(H20="","",Статистика!Q20+Статистика!Q80+Статистика!Q140+Статистика!Q200)</f>
        <v>0</v>
      </c>
      <c r="R20" s="19">
        <f>IF(H20="","",Статистика!R20+Статистика!R80+Статистика!R140+Статистика!R200)</f>
        <v>0</v>
      </c>
      <c r="S20" s="21">
        <f t="shared" si="3"/>
        <v>0</v>
      </c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68"/>
      <c r="AF20" s="68"/>
      <c r="AG20" s="68"/>
    </row>
    <row r="21" spans="3:33" ht="18">
      <c r="C21" s="292">
        <f>IF('Классный журнал'!C201="-",-1,IF('Классный журнал'!C201="+",1,""))</f>
      </c>
      <c r="D21" s="22">
        <v>13</v>
      </c>
      <c r="E21" s="50" t="str">
        <f>'Классный журнал'!E201</f>
        <v>Игошева Анастасия</v>
      </c>
      <c r="F21" s="19">
        <f>IF(Статистика!E201="",0,Статистика!F21+Статистика!F81+Статистика!F141+Статистика!F201)</f>
        <v>29</v>
      </c>
      <c r="G21" s="19">
        <f>IF(Статистика!E201="",0,Статистика!G21+Статистика!G81+Статистика!G141+Статистика!G201)</f>
        <v>90</v>
      </c>
      <c r="H21" s="19">
        <f t="shared" si="1"/>
        <v>3.103448275862069</v>
      </c>
      <c r="I21" s="19"/>
      <c r="J21" s="19">
        <f t="shared" si="2"/>
        <v>17</v>
      </c>
      <c r="K21" s="19">
        <f>Статистика!T21</f>
        <v>3</v>
      </c>
      <c r="L21" s="19">
        <f>Статистика!T81</f>
        <v>3</v>
      </c>
      <c r="M21" s="19">
        <f>Статистика!T141</f>
        <v>3</v>
      </c>
      <c r="N21" s="19">
        <f>Статистика!T201</f>
        <v>3</v>
      </c>
      <c r="O21" s="137">
        <f t="shared" si="0"/>
        <v>3</v>
      </c>
      <c r="P21" s="19">
        <f>IF(H21="","",Статистика!P21+Статистика!P81+Статистика!P141+Статистика!P201)</f>
        <v>10</v>
      </c>
      <c r="Q21" s="19">
        <f>IF(H21="","",Статистика!Q21+Статистика!Q81+Статистика!Q141+Статистика!Q201)</f>
        <v>0</v>
      </c>
      <c r="R21" s="19">
        <f>IF(H21="","",Статистика!R21+Статистика!R81+Статистика!R141+Статистика!R201)</f>
        <v>10</v>
      </c>
      <c r="S21" s="21">
        <f t="shared" si="3"/>
        <v>20</v>
      </c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68"/>
      <c r="AF21" s="68"/>
      <c r="AG21" s="68"/>
    </row>
    <row r="22" spans="3:33" ht="18">
      <c r="C22" s="292">
        <f>IF('Классный журнал'!C202="-",-1,IF('Классный журнал'!C202="+",1,""))</f>
      </c>
      <c r="D22" s="22">
        <v>14</v>
      </c>
      <c r="E22" s="50" t="str">
        <f>'Классный журнал'!E202</f>
        <v>Казанцев Андрей</v>
      </c>
      <c r="F22" s="19">
        <f>IF(Статистика!E202="",0,Статистика!F22+Статистика!F82+Статистика!F142+Статистика!F202)</f>
        <v>33</v>
      </c>
      <c r="G22" s="19">
        <f>IF(Статистика!E202="",0,Статистика!G22+Статистика!G82+Статистика!G142+Статистика!G202)</f>
        <v>82</v>
      </c>
      <c r="H22" s="19">
        <f t="shared" si="1"/>
        <v>2.484848484848485</v>
      </c>
      <c r="I22" s="19"/>
      <c r="J22" s="19">
        <f t="shared" si="2"/>
        <v>30</v>
      </c>
      <c r="K22" s="19">
        <f>Статистика!T22</f>
        <v>2</v>
      </c>
      <c r="L22" s="19">
        <f>Статистика!T82</f>
        <v>2</v>
      </c>
      <c r="M22" s="19">
        <f>Статистика!T142</f>
        <v>3</v>
      </c>
      <c r="N22" s="19">
        <f>Статистика!T202</f>
        <v>2</v>
      </c>
      <c r="O22" s="137">
        <f t="shared" si="0"/>
        <v>2</v>
      </c>
      <c r="P22" s="19">
        <f>IF(H22="","",Статистика!P22+Статистика!P82+Статистика!P142+Статистика!P202)</f>
        <v>0</v>
      </c>
      <c r="Q22" s="19">
        <f>IF(H22="","",Статистика!Q22+Статистика!Q82+Статистика!Q142+Статистика!Q202)</f>
        <v>0</v>
      </c>
      <c r="R22" s="19">
        <f>IF(H22="","",Статистика!R22+Статистика!R82+Статистика!R142+Статистика!R202)</f>
        <v>10</v>
      </c>
      <c r="S22" s="21">
        <f t="shared" si="3"/>
        <v>10</v>
      </c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68"/>
      <c r="AF22" s="68"/>
      <c r="AG22" s="68"/>
    </row>
    <row r="23" spans="3:33" ht="18">
      <c r="C23" s="292">
        <f>IF('Классный журнал'!C203="-",-1,IF('Классный журнал'!C203="+",1,""))</f>
      </c>
      <c r="D23" s="22">
        <v>15</v>
      </c>
      <c r="E23" s="50" t="str">
        <f>'Классный журнал'!E203</f>
        <v>Кравченко Кристина</v>
      </c>
      <c r="F23" s="19">
        <f>IF(Статистика!E203="",0,Статистика!F23+Статистика!F83+Статистика!F143+Статистика!F203)</f>
        <v>40</v>
      </c>
      <c r="G23" s="19">
        <f>IF(Статистика!E203="",0,Статистика!G23+Статистика!G83+Статистика!G143+Статистика!G203)</f>
        <v>187</v>
      </c>
      <c r="H23" s="19">
        <f t="shared" si="1"/>
        <v>4.675</v>
      </c>
      <c r="I23" s="19"/>
      <c r="J23" s="19">
        <f t="shared" si="2"/>
        <v>1</v>
      </c>
      <c r="K23" s="19">
        <f>Статистика!T23</f>
        <v>5</v>
      </c>
      <c r="L23" s="19">
        <f>Статистика!T83</f>
        <v>5</v>
      </c>
      <c r="M23" s="19">
        <f>Статистика!T143</f>
        <v>4</v>
      </c>
      <c r="N23" s="19">
        <f>Статистика!T203</f>
        <v>4</v>
      </c>
      <c r="O23" s="137">
        <f t="shared" si="0"/>
        <v>4</v>
      </c>
      <c r="P23" s="19">
        <f>IF(H23="","",Статистика!P23+Статистика!P83+Статистика!P143+Статистика!P203)</f>
        <v>0</v>
      </c>
      <c r="Q23" s="19">
        <f>IF(H23="","",Статистика!Q23+Статистика!Q83+Статистика!Q143+Статистика!Q203)</f>
        <v>0</v>
      </c>
      <c r="R23" s="19">
        <f>IF(H23="","",Статистика!R23+Статистика!R83+Статистика!R143+Статистика!R203)</f>
        <v>1</v>
      </c>
      <c r="S23" s="21">
        <f t="shared" si="3"/>
        <v>1</v>
      </c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68"/>
      <c r="AF23" s="68"/>
      <c r="AG23" s="68"/>
    </row>
    <row r="24" spans="3:33" ht="18">
      <c r="C24" s="292">
        <f>IF('Классный журнал'!C204="-",-1,IF('Классный журнал'!C204="+",1,""))</f>
      </c>
      <c r="D24" s="22">
        <v>16</v>
      </c>
      <c r="E24" s="50" t="str">
        <f>'Классный журнал'!E204</f>
        <v>Кротков Александр</v>
      </c>
      <c r="F24" s="19">
        <f>IF(Статистика!E204="",0,Статистика!F24+Статистика!F84+Статистика!F144+Статистика!F204)</f>
        <v>32</v>
      </c>
      <c r="G24" s="19">
        <f>IF(Статистика!E204="",0,Статистика!G24+Статистика!G84+Статистика!G144+Статистика!G204)</f>
        <v>95</v>
      </c>
      <c r="H24" s="19">
        <f t="shared" si="1"/>
        <v>2.96875</v>
      </c>
      <c r="I24" s="19"/>
      <c r="J24" s="19">
        <f t="shared" si="2"/>
        <v>19</v>
      </c>
      <c r="K24" s="19">
        <f>Статистика!T24</f>
        <v>3</v>
      </c>
      <c r="L24" s="19">
        <f>Статистика!T84</f>
        <v>3</v>
      </c>
      <c r="M24" s="19">
        <f>Статистика!T144</f>
        <v>3</v>
      </c>
      <c r="N24" s="19">
        <f>Статистика!T204</f>
        <v>3</v>
      </c>
      <c r="O24" s="137">
        <f t="shared" si="0"/>
        <v>3</v>
      </c>
      <c r="P24" s="19">
        <f>IF(H24="","",Статистика!P24+Статистика!P84+Статистика!P144+Статистика!P204)</f>
        <v>0</v>
      </c>
      <c r="Q24" s="19">
        <f>IF(H24="","",Статистика!Q24+Статистика!Q84+Статистика!Q144+Статистика!Q204)</f>
        <v>8</v>
      </c>
      <c r="R24" s="19">
        <f>IF(H24="","",Статистика!R24+Статистика!R84+Статистика!R144+Статистика!R204)</f>
        <v>1</v>
      </c>
      <c r="S24" s="21">
        <f t="shared" si="3"/>
        <v>9</v>
      </c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68"/>
      <c r="AF24" s="68"/>
      <c r="AG24" s="68"/>
    </row>
    <row r="25" spans="3:33" ht="18">
      <c r="C25" s="292">
        <f>IF('Классный журнал'!C205="-",-1,IF('Классный журнал'!C205="+",1,""))</f>
      </c>
      <c r="D25" s="22">
        <v>17</v>
      </c>
      <c r="E25" s="50" t="str">
        <f>'Классный журнал'!E205</f>
        <v>Кузнецова Екатерина</v>
      </c>
      <c r="F25" s="19">
        <f>IF(Статистика!E205="",0,Статистика!F25+Статистика!F85+Статистика!F145+Статистика!F205)</f>
        <v>33</v>
      </c>
      <c r="G25" s="19">
        <f>IF(Статистика!E205="",0,Статистика!G25+Статистика!G85+Статистика!G145+Статистика!G205)</f>
        <v>132</v>
      </c>
      <c r="H25" s="19">
        <f t="shared" si="1"/>
        <v>4</v>
      </c>
      <c r="I25" s="19"/>
      <c r="J25" s="19">
        <f t="shared" si="2"/>
        <v>4</v>
      </c>
      <c r="K25" s="19">
        <f>Статистика!T25</f>
        <v>4</v>
      </c>
      <c r="L25" s="19">
        <f>Статистика!T85</f>
        <v>4</v>
      </c>
      <c r="M25" s="19">
        <f>Статистика!T145</f>
        <v>4</v>
      </c>
      <c r="N25" s="19">
        <f>Статистика!T205</f>
        <v>4</v>
      </c>
      <c r="O25" s="137">
        <f t="shared" si="0"/>
        <v>4</v>
      </c>
      <c r="P25" s="19">
        <f>IF(H25="","",Статистика!P25+Статистика!P85+Статистика!P145+Статистика!P205)</f>
        <v>0</v>
      </c>
      <c r="Q25" s="19">
        <f>IF(H25="","",Статистика!Q25+Статистика!Q85+Статистика!Q145+Статистика!Q205)</f>
        <v>0</v>
      </c>
      <c r="R25" s="19">
        <f>IF(H25="","",Статистика!R25+Статистика!R85+Статистика!R145+Статистика!R205)</f>
        <v>1</v>
      </c>
      <c r="S25" s="21">
        <f t="shared" si="3"/>
        <v>1</v>
      </c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68"/>
      <c r="AF25" s="68"/>
      <c r="AG25" s="68"/>
    </row>
    <row r="26" spans="3:33" ht="18">
      <c r="C26" s="292">
        <f>IF('Классный журнал'!C206="-",-1,IF('Классный журнал'!C206="+",1,""))</f>
      </c>
      <c r="D26" s="22">
        <v>18</v>
      </c>
      <c r="E26" s="50" t="str">
        <f>'Классный журнал'!E206</f>
        <v>Курило Павел</v>
      </c>
      <c r="F26" s="19">
        <f>IF(Статистика!E206="",0,Статистика!F26+Статистика!F86+Статистика!F146+Статистика!F206)</f>
        <v>32</v>
      </c>
      <c r="G26" s="19">
        <f>IF(Статистика!E206="",0,Статистика!G26+Статистика!G86+Статистика!G146+Статистика!G206)</f>
        <v>91</v>
      </c>
      <c r="H26" s="19">
        <f t="shared" si="1"/>
        <v>2.84375</v>
      </c>
      <c r="I26" s="19"/>
      <c r="J26" s="19">
        <f t="shared" si="2"/>
        <v>25</v>
      </c>
      <c r="K26" s="19">
        <f>Статистика!T26</f>
        <v>3</v>
      </c>
      <c r="L26" s="19">
        <f>Статистика!T86</f>
        <v>3</v>
      </c>
      <c r="M26" s="19">
        <f>Статистика!T146</f>
        <v>3</v>
      </c>
      <c r="N26" s="19">
        <f>Статистика!T206</f>
        <v>3</v>
      </c>
      <c r="O26" s="137">
        <f t="shared" si="0"/>
        <v>3</v>
      </c>
      <c r="P26" s="19">
        <f>IF(H26="","",Статистика!P26+Статистика!P86+Статистика!P146+Статистика!P206)</f>
        <v>4</v>
      </c>
      <c r="Q26" s="19">
        <f>IF(H26="","",Статистика!Q26+Статистика!Q86+Статистика!Q146+Статистика!Q206)</f>
        <v>0</v>
      </c>
      <c r="R26" s="19">
        <f>IF(H26="","",Статистика!R26+Статистика!R86+Статистика!R146+Статистика!R206)</f>
        <v>8</v>
      </c>
      <c r="S26" s="21">
        <f t="shared" si="3"/>
        <v>12</v>
      </c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68"/>
      <c r="AF26" s="68"/>
      <c r="AG26" s="68"/>
    </row>
    <row r="27" spans="3:33" ht="18">
      <c r="C27" s="292">
        <f>IF('Классный журнал'!C207="-",-1,IF('Классный журнал'!C207="+",1,""))</f>
      </c>
      <c r="D27" s="22">
        <v>19</v>
      </c>
      <c r="E27" s="50" t="str">
        <f>'Классный журнал'!E207</f>
        <v>Максимкина Татьяна</v>
      </c>
      <c r="F27" s="19">
        <f>IF(Статистика!E207="",0,Статистика!F27+Статистика!F87+Статистика!F147+Статистика!F207)</f>
        <v>30</v>
      </c>
      <c r="G27" s="19">
        <f>IF(Статистика!E207="",0,Статистика!G27+Статистика!G87+Статистика!G147+Статистика!G207)</f>
        <v>67</v>
      </c>
      <c r="H27" s="19">
        <f t="shared" si="1"/>
        <v>2.2333333333333334</v>
      </c>
      <c r="I27" s="19"/>
      <c r="J27" s="19">
        <f t="shared" si="2"/>
        <v>31</v>
      </c>
      <c r="K27" s="19">
        <f>Статистика!T27</f>
        <v>2</v>
      </c>
      <c r="L27" s="19">
        <f>Статистика!T87</f>
        <v>2</v>
      </c>
      <c r="M27" s="19">
        <f>Статистика!T147</f>
        <v>2</v>
      </c>
      <c r="N27" s="19">
        <f>Статистика!T207</f>
        <v>2</v>
      </c>
      <c r="O27" s="137">
        <f t="shared" si="0"/>
        <v>2</v>
      </c>
      <c r="P27" s="19">
        <f>IF(H27="","",Статистика!P27+Статистика!P87+Статистика!P147+Статистика!P207)</f>
        <v>0</v>
      </c>
      <c r="Q27" s="19">
        <f>IF(H27="","",Статистика!Q27+Статистика!Q87+Статистика!Q147+Статистика!Q207)</f>
        <v>0</v>
      </c>
      <c r="R27" s="19">
        <f>IF(H27="","",Статистика!R27+Статистика!R87+Статистика!R147+Статистика!R207)</f>
        <v>14</v>
      </c>
      <c r="S27" s="21">
        <f t="shared" si="3"/>
        <v>14</v>
      </c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68"/>
      <c r="AF27" s="68"/>
      <c r="AG27" s="68"/>
    </row>
    <row r="28" spans="3:33" ht="18">
      <c r="C28" s="292">
        <f>IF('Классный журнал'!C208="-",-1,IF('Классный журнал'!C208="+",1,""))</f>
      </c>
      <c r="D28" s="22">
        <v>20</v>
      </c>
      <c r="E28" s="50" t="str">
        <f>'Классный журнал'!E208</f>
        <v>Малахова Ксения</v>
      </c>
      <c r="F28" s="19">
        <f>IF(Статистика!E208="",0,Статистика!F28+Статистика!F88+Статистика!F148+Статистика!F208)</f>
        <v>33</v>
      </c>
      <c r="G28" s="19">
        <f>IF(Статистика!E208="",0,Статистика!G28+Статистика!G88+Статистика!G148+Статистика!G208)</f>
        <v>94</v>
      </c>
      <c r="H28" s="19">
        <f t="shared" si="1"/>
        <v>2.8484848484848486</v>
      </c>
      <c r="I28" s="19"/>
      <c r="J28" s="19">
        <f t="shared" si="2"/>
        <v>24</v>
      </c>
      <c r="K28" s="19">
        <f>Статистика!T28</f>
        <v>3</v>
      </c>
      <c r="L28" s="19">
        <f>Статистика!T88</f>
        <v>3</v>
      </c>
      <c r="M28" s="19">
        <f>Статистика!T148</f>
        <v>3</v>
      </c>
      <c r="N28" s="19">
        <f>Статистика!T208</f>
        <v>3</v>
      </c>
      <c r="O28" s="137">
        <f t="shared" si="0"/>
        <v>3</v>
      </c>
      <c r="P28" s="19">
        <f>IF(H28="","",Статистика!P28+Статистика!P88+Статистика!P148+Статистика!P208)</f>
        <v>4</v>
      </c>
      <c r="Q28" s="19">
        <f>IF(H28="","",Статистика!Q28+Статистика!Q88+Статистика!Q148+Статистика!Q208)</f>
        <v>0</v>
      </c>
      <c r="R28" s="19">
        <f>IF(H28="","",Статистика!R28+Статистика!R88+Статистика!R148+Статистика!R208)</f>
        <v>4</v>
      </c>
      <c r="S28" s="21">
        <f t="shared" si="3"/>
        <v>8</v>
      </c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68"/>
      <c r="AF28" s="68"/>
      <c r="AG28" s="68"/>
    </row>
    <row r="29" spans="3:33" ht="18">
      <c r="C29" s="292">
        <f>IF('Классный журнал'!C209="-",-1,IF('Классный журнал'!C209="+",1,""))</f>
      </c>
      <c r="D29" s="22">
        <v>21</v>
      </c>
      <c r="E29" s="50" t="str">
        <f>'Классный журнал'!E209</f>
        <v>Марсуверских Михаил</v>
      </c>
      <c r="F29" s="19">
        <f>IF(Статистика!E209="",0,Статистика!F29+Статистика!F89+Статистика!F149+Статистика!F209)</f>
        <v>41</v>
      </c>
      <c r="G29" s="19">
        <f>IF(Статистика!E209="",0,Статистика!G29+Статистика!G89+Статистика!G149+Статистика!G209)</f>
        <v>105</v>
      </c>
      <c r="H29" s="19">
        <f t="shared" si="1"/>
        <v>2.5609756097560976</v>
      </c>
      <c r="I29" s="19"/>
      <c r="J29" s="19">
        <f t="shared" si="2"/>
        <v>29</v>
      </c>
      <c r="K29" s="19">
        <f>Статистика!T29</f>
        <v>2</v>
      </c>
      <c r="L29" s="19">
        <f>Статистика!T89</f>
        <v>3</v>
      </c>
      <c r="M29" s="19">
        <f>Статистика!T149</f>
        <v>3</v>
      </c>
      <c r="N29" s="19">
        <f>Статистика!T209</f>
        <v>2</v>
      </c>
      <c r="O29" s="137">
        <f t="shared" si="0"/>
        <v>3</v>
      </c>
      <c r="P29" s="19">
        <f>IF(H29="","",Статистика!P29+Статистика!P89+Статистика!P149+Статистика!P209)</f>
        <v>1</v>
      </c>
      <c r="Q29" s="19">
        <f>IF(H29="","",Статистика!Q29+Статистика!Q89+Статистика!Q149+Статистика!Q209)</f>
        <v>0</v>
      </c>
      <c r="R29" s="19">
        <f>IF(H29="","",Статистика!R29+Статистика!R89+Статистика!R149+Статистика!R209)</f>
        <v>0</v>
      </c>
      <c r="S29" s="21">
        <f t="shared" si="3"/>
        <v>1</v>
      </c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68"/>
      <c r="AF29" s="68"/>
      <c r="AG29" s="68"/>
    </row>
    <row r="30" spans="3:33" ht="18">
      <c r="C30" s="292">
        <f>IF('Классный журнал'!C210="-",-1,IF('Классный журнал'!C210="+",1,""))</f>
      </c>
      <c r="D30" s="22">
        <v>22</v>
      </c>
      <c r="E30" s="50" t="str">
        <f>'Классный журнал'!E210</f>
        <v>Никифоров Алексей</v>
      </c>
      <c r="F30" s="19">
        <f>IF(Статистика!E210="",0,Статистика!F30+Статистика!F90+Статистика!F150+Статистика!F210)</f>
        <v>32</v>
      </c>
      <c r="G30" s="19">
        <f>IF(Статистика!E210="",0,Статистика!G30+Статистика!G90+Статистика!G150+Статистика!G210)</f>
        <v>116</v>
      </c>
      <c r="H30" s="19">
        <f t="shared" si="1"/>
        <v>3.625</v>
      </c>
      <c r="I30" s="19"/>
      <c r="J30" s="19">
        <f t="shared" si="2"/>
        <v>8</v>
      </c>
      <c r="K30" s="19">
        <f>Статистика!T30</f>
        <v>3</v>
      </c>
      <c r="L30" s="19">
        <f>Статистика!T90</f>
        <v>4</v>
      </c>
      <c r="M30" s="19">
        <f>Статистика!T150</f>
        <v>4</v>
      </c>
      <c r="N30" s="19">
        <f>Статистика!T210</f>
        <v>3</v>
      </c>
      <c r="O30" s="137">
        <f t="shared" si="0"/>
        <v>3</v>
      </c>
      <c r="P30" s="19">
        <f>IF(H30="","",Статистика!P30+Статистика!P90+Статистика!P150+Статистика!P210)</f>
        <v>0</v>
      </c>
      <c r="Q30" s="19">
        <f>IF(H30="","",Статистика!Q30+Статистика!Q90+Статистика!Q150+Статистика!Q210)</f>
        <v>10</v>
      </c>
      <c r="R30" s="19">
        <f>IF(H30="","",Статистика!R30+Статистика!R90+Статистика!R150+Статистика!R210)</f>
        <v>0</v>
      </c>
      <c r="S30" s="21">
        <f t="shared" si="3"/>
        <v>10</v>
      </c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68"/>
      <c r="AF30" s="68"/>
      <c r="AG30" s="68"/>
    </row>
    <row r="31" spans="3:33" ht="18">
      <c r="C31" s="292">
        <f>IF('Классный журнал'!C211="-",-1,IF('Классный журнал'!C211="+",1,""))</f>
      </c>
      <c r="D31" s="22">
        <v>23</v>
      </c>
      <c r="E31" s="50" t="str">
        <f>'Классный журнал'!E211</f>
        <v>Панченко Олеся</v>
      </c>
      <c r="F31" s="19">
        <f>IF(Статистика!E211="",0,Статистика!F31+Статистика!F91+Статистика!F151+Статистика!F211)</f>
        <v>36</v>
      </c>
      <c r="G31" s="19">
        <f>IF(Статистика!E211="",0,Статистика!G31+Статистика!G91+Статистика!G151+Статистика!G211)</f>
        <v>95</v>
      </c>
      <c r="H31" s="19">
        <f t="shared" si="1"/>
        <v>2.638888888888889</v>
      </c>
      <c r="I31" s="19"/>
      <c r="J31" s="19">
        <f t="shared" si="2"/>
        <v>28</v>
      </c>
      <c r="K31" s="19">
        <f>Статистика!T31</f>
        <v>2</v>
      </c>
      <c r="L31" s="19">
        <f>Статистика!T91</f>
        <v>3</v>
      </c>
      <c r="M31" s="19">
        <f>Статистика!T151</f>
        <v>3</v>
      </c>
      <c r="N31" s="19">
        <f>Статистика!T211</f>
        <v>3</v>
      </c>
      <c r="O31" s="137">
        <f t="shared" si="0"/>
        <v>3</v>
      </c>
      <c r="P31" s="19">
        <f>IF(H31="","",Статистика!P31+Статистика!P91+Статистика!P151+Статистика!P211)</f>
        <v>4</v>
      </c>
      <c r="Q31" s="19">
        <f>IF(H31="","",Статистика!Q31+Статистика!Q91+Статистика!Q151+Статистика!Q211)</f>
        <v>4</v>
      </c>
      <c r="R31" s="19">
        <f>IF(H31="","",Статистика!R31+Статистика!R91+Статистика!R151+Статистика!R211)</f>
        <v>3</v>
      </c>
      <c r="S31" s="21">
        <f t="shared" si="3"/>
        <v>11</v>
      </c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68"/>
      <c r="AF31" s="68"/>
      <c r="AG31" s="68"/>
    </row>
    <row r="32" spans="3:33" ht="18">
      <c r="C32" s="292">
        <f>IF('Классный журнал'!C212="-",-1,IF('Классный журнал'!C212="+",1,""))</f>
      </c>
      <c r="D32" s="22">
        <v>24</v>
      </c>
      <c r="E32" s="50" t="str">
        <f>'Классный журнал'!E212</f>
        <v>Перцев Владимир</v>
      </c>
      <c r="F32" s="19">
        <f>IF(Статистика!E212="",0,Статистика!F32+Статистика!F92+Статистика!F152+Статистика!F212)</f>
        <v>40</v>
      </c>
      <c r="G32" s="19">
        <f>IF(Статистика!E212="",0,Статистика!G32+Статистика!G92+Статистика!G152+Статистика!G212)</f>
        <v>123</v>
      </c>
      <c r="H32" s="19">
        <f t="shared" si="1"/>
        <v>3.075</v>
      </c>
      <c r="I32" s="19"/>
      <c r="J32" s="19">
        <f t="shared" si="2"/>
        <v>18</v>
      </c>
      <c r="K32" s="19">
        <f>Статистика!T32</f>
        <v>3</v>
      </c>
      <c r="L32" s="19">
        <f>Статистика!T92</f>
        <v>3</v>
      </c>
      <c r="M32" s="19">
        <f>Статистика!T152</f>
        <v>3</v>
      </c>
      <c r="N32" s="19">
        <f>Статистика!T212</f>
        <v>3</v>
      </c>
      <c r="O32" s="137">
        <f t="shared" si="0"/>
        <v>3</v>
      </c>
      <c r="P32" s="19">
        <f>IF(H32="","",Статистика!P32+Статистика!P92+Статистика!P152+Статистика!P212)</f>
        <v>0</v>
      </c>
      <c r="Q32" s="19">
        <f>IF(H32="","",Статистика!Q32+Статистика!Q92+Статистика!Q152+Статистика!Q212)</f>
        <v>0</v>
      </c>
      <c r="R32" s="19">
        <f>IF(H32="","",Статистика!R32+Статистика!R92+Статистика!R152+Статистика!R212)</f>
        <v>0</v>
      </c>
      <c r="S32" s="21">
        <f t="shared" si="3"/>
        <v>0</v>
      </c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68"/>
      <c r="AF32" s="68"/>
      <c r="AG32" s="68"/>
    </row>
    <row r="33" spans="3:33" ht="18">
      <c r="C33" s="292">
        <f>IF('Классный журнал'!C213="-",-1,IF('Классный журнал'!C213="+",1,""))</f>
      </c>
      <c r="D33" s="22">
        <v>25</v>
      </c>
      <c r="E33" s="50" t="str">
        <f>'Классный журнал'!E213</f>
        <v>Плешивцев Виталий</v>
      </c>
      <c r="F33" s="19">
        <f>IF(Статистика!E213="",0,Статистика!F33+Статистика!F93+Статистика!F153+Статистика!F213)</f>
        <v>28</v>
      </c>
      <c r="G33" s="19">
        <f>IF(Статистика!E213="",0,Статистика!G33+Статистика!G93+Статистика!G153+Статистика!G213)</f>
        <v>82</v>
      </c>
      <c r="H33" s="19">
        <f t="shared" si="1"/>
        <v>2.9285714285714284</v>
      </c>
      <c r="I33" s="19"/>
      <c r="J33" s="19">
        <f t="shared" si="2"/>
        <v>21</v>
      </c>
      <c r="K33" s="19">
        <f>Статистика!T33</f>
        <v>3</v>
      </c>
      <c r="L33" s="19">
        <f>Статистика!T93</f>
        <v>3</v>
      </c>
      <c r="M33" s="19">
        <f>Статистика!T153</f>
        <v>3</v>
      </c>
      <c r="N33" s="19">
        <f>Статистика!T213</f>
        <v>3</v>
      </c>
      <c r="O33" s="137">
        <f t="shared" si="0"/>
        <v>3</v>
      </c>
      <c r="P33" s="19">
        <f>IF(H33="","",Статистика!P33+Статистика!P93+Статистика!P153+Статистика!P213)</f>
        <v>18</v>
      </c>
      <c r="Q33" s="19">
        <f>IF(H33="","",Статистика!Q33+Статистика!Q93+Статистика!Q153+Статистика!Q213)</f>
        <v>0</v>
      </c>
      <c r="R33" s="19">
        <f>IF(H33="","",Статистика!R33+Статистика!R93+Статистика!R153+Статистика!R213)</f>
        <v>0</v>
      </c>
      <c r="S33" s="21">
        <f t="shared" si="3"/>
        <v>18</v>
      </c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68"/>
      <c r="AF33" s="68"/>
      <c r="AG33" s="68"/>
    </row>
    <row r="34" spans="3:33" ht="18">
      <c r="C34" s="292">
        <f>IF('Классный журнал'!C214="-",-1,IF('Классный журнал'!C214="+",1,""))</f>
      </c>
      <c r="D34" s="22">
        <v>26</v>
      </c>
      <c r="E34" s="50" t="str">
        <f>'Классный журнал'!E214</f>
        <v>Савинов Александр</v>
      </c>
      <c r="F34" s="19">
        <f>IF(Статистика!E214="",0,Статистика!F34+Статистика!F94+Статистика!F154+Статистика!F214)</f>
        <v>31</v>
      </c>
      <c r="G34" s="19">
        <f>IF(Статистика!E214="",0,Статистика!G34+Статистика!G94+Статистика!G154+Статистика!G214)</f>
        <v>127</v>
      </c>
      <c r="H34" s="19">
        <f t="shared" si="1"/>
        <v>4.096774193548387</v>
      </c>
      <c r="I34" s="19"/>
      <c r="J34" s="19">
        <f t="shared" si="2"/>
        <v>3</v>
      </c>
      <c r="K34" s="19">
        <f>Статистика!T34</f>
        <v>5</v>
      </c>
      <c r="L34" s="19">
        <f>Статистика!T94</f>
        <v>3</v>
      </c>
      <c r="M34" s="19">
        <f>Статистика!T154</f>
        <v>4</v>
      </c>
      <c r="N34" s="19" t="str">
        <f>Статистика!T214</f>
        <v>н/а</v>
      </c>
      <c r="O34" s="137">
        <f t="shared" si="0"/>
        <v>4</v>
      </c>
      <c r="P34" s="19">
        <f>IF(H34="","",Статистика!P34+Статистика!P94+Статистика!P154+Статистика!P214)</f>
        <v>5</v>
      </c>
      <c r="Q34" s="19">
        <f>IF(H34="","",Статистика!Q34+Статистика!Q94+Статистика!Q154+Статистика!Q214)</f>
        <v>6</v>
      </c>
      <c r="R34" s="19">
        <f>IF(H34="","",Статистика!R34+Статистика!R94+Статистика!R154+Статистика!R214)</f>
        <v>3</v>
      </c>
      <c r="S34" s="21">
        <f t="shared" si="3"/>
        <v>14</v>
      </c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68"/>
      <c r="AF34" s="68"/>
      <c r="AG34" s="68"/>
    </row>
    <row r="35" spans="3:33" ht="18">
      <c r="C35" s="292">
        <f>IF('Классный журнал'!C215="-",-1,IF('Классный журнал'!C215="+",1,""))</f>
      </c>
      <c r="D35" s="22">
        <v>27</v>
      </c>
      <c r="E35" s="50" t="str">
        <f>'Классный журнал'!E215</f>
        <v>Фадеева Виктория</v>
      </c>
      <c r="F35" s="19">
        <f>IF(Статистика!E215="",0,Статистика!F35+Статистика!F95+Статистика!F155+Статистика!F215)</f>
        <v>34</v>
      </c>
      <c r="G35" s="19">
        <f>IF(Статистика!E215="",0,Статистика!G35+Статистика!G95+Статистика!G155+Статистика!G215)</f>
        <v>97</v>
      </c>
      <c r="H35" s="19">
        <f t="shared" si="1"/>
        <v>2.8529411764705883</v>
      </c>
      <c r="I35" s="19"/>
      <c r="J35" s="19">
        <f t="shared" si="2"/>
        <v>23</v>
      </c>
      <c r="K35" s="19">
        <f>Статистика!T35</f>
        <v>3</v>
      </c>
      <c r="L35" s="19">
        <f>Статистика!T95</f>
        <v>3</v>
      </c>
      <c r="M35" s="19">
        <f>Статистика!T155</f>
        <v>3</v>
      </c>
      <c r="N35" s="19">
        <f>Статистика!T215</f>
        <v>3</v>
      </c>
      <c r="O35" s="137">
        <f t="shared" si="0"/>
        <v>3</v>
      </c>
      <c r="P35" s="19">
        <f>IF(H35="","",Статистика!P35+Статистика!P95+Статистика!P155+Статистика!P215)</f>
        <v>0</v>
      </c>
      <c r="Q35" s="19">
        <f>IF(H35="","",Статистика!Q35+Статистика!Q95+Статистика!Q155+Статистика!Q215)</f>
        <v>0</v>
      </c>
      <c r="R35" s="19">
        <f>IF(H35="","",Статистика!R35+Статистика!R95+Статистика!R155+Статистика!R215)</f>
        <v>0</v>
      </c>
      <c r="S35" s="21">
        <f t="shared" si="3"/>
        <v>0</v>
      </c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68"/>
      <c r="AF35" s="68"/>
      <c r="AG35" s="68"/>
    </row>
    <row r="36" spans="3:33" ht="18">
      <c r="C36" s="292">
        <f>IF('Классный журнал'!C216="-",-1,IF('Классный журнал'!C216="+",1,""))</f>
      </c>
      <c r="D36" s="22">
        <v>28</v>
      </c>
      <c r="E36" s="50" t="str">
        <f>'Классный журнал'!E216</f>
        <v>Шестопалова Алёна</v>
      </c>
      <c r="F36" s="19">
        <f>IF(Статистика!E216="",0,Статистика!F36+Статистика!F96+Статистика!F156+Статистика!F216)</f>
        <v>33</v>
      </c>
      <c r="G36" s="19">
        <f>IF(Статистика!E216="",0,Статистика!G36+Статистика!G96+Статистика!G156+Статистика!G216)</f>
        <v>92</v>
      </c>
      <c r="H36" s="19">
        <f t="shared" si="1"/>
        <v>2.787878787878788</v>
      </c>
      <c r="I36" s="19"/>
      <c r="J36" s="19">
        <f t="shared" si="2"/>
        <v>26</v>
      </c>
      <c r="K36" s="19">
        <f>Статистика!T36</f>
        <v>3</v>
      </c>
      <c r="L36" s="19">
        <f>Статистика!T96</f>
        <v>3</v>
      </c>
      <c r="M36" s="19">
        <f>Статистика!T156</f>
        <v>3</v>
      </c>
      <c r="N36" s="19">
        <f>Статистика!T216</f>
        <v>3</v>
      </c>
      <c r="O36" s="137">
        <f t="shared" si="0"/>
        <v>3</v>
      </c>
      <c r="P36" s="19">
        <f>IF(H36="","",Статистика!P36+Статистика!P96+Статистика!P156+Статистика!P216)</f>
        <v>11</v>
      </c>
      <c r="Q36" s="19">
        <f>IF(H36="","",Статистика!Q36+Статистика!Q96+Статистика!Q156+Статистика!Q216)</f>
        <v>0</v>
      </c>
      <c r="R36" s="19">
        <f>IF(H36="","",Статистика!R36+Статистика!R96+Статистика!R156+Статистика!R216)</f>
        <v>1</v>
      </c>
      <c r="S36" s="21">
        <f t="shared" si="3"/>
        <v>12</v>
      </c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68"/>
      <c r="AF36" s="68"/>
      <c r="AG36" s="68"/>
    </row>
    <row r="37" spans="3:33" ht="18">
      <c r="C37" s="292">
        <f>IF('Классный журнал'!C217="-",-1,IF('Классный журнал'!C217="+",1,""))</f>
        <v>-1</v>
      </c>
      <c r="D37" s="22">
        <v>29</v>
      </c>
      <c r="E37" s="50" t="str">
        <f>'Классный журнал'!E217</f>
        <v>Егоров Иван</v>
      </c>
      <c r="F37" s="19">
        <f>IF(Статистика!E217="",0,Статистика!F37+Статистика!F97+Статистика!F157+Статистика!F217)</f>
        <v>0</v>
      </c>
      <c r="G37" s="19">
        <f>IF(Статистика!E217="",0,Статистика!G37+Статистика!G97+Статистика!G157+Статистика!G217)</f>
        <v>0</v>
      </c>
      <c r="H37" s="19">
        <f t="shared" si="1"/>
      </c>
      <c r="I37" s="19"/>
      <c r="J37" s="19">
        <f t="shared" si="2"/>
      </c>
      <c r="K37" s="19">
        <f>Статистика!T37</f>
        <v>3</v>
      </c>
      <c r="L37" s="19">
        <f>Статистика!T97</f>
        <v>4</v>
      </c>
      <c r="M37" s="19">
        <f>Статистика!T157</f>
      </c>
      <c r="N37" s="19">
        <f>Статистика!T217</f>
      </c>
      <c r="O37" s="137">
        <f t="shared" si="0"/>
      </c>
      <c r="P37" s="19">
        <f>IF(H37="","",Статистика!P37+Статистика!P97+Статистика!P157+Статистика!P217)</f>
      </c>
      <c r="Q37" s="19">
        <f>IF(H37="","",Статистика!Q37+Статистика!Q97+Статистика!Q157+Статистика!Q217)</f>
      </c>
      <c r="R37" s="19">
        <f>IF(H37="","",Статистика!R37+Статистика!R97+Статистика!R157+Статистика!R217)</f>
      </c>
      <c r="S37" s="21">
        <f t="shared" si="3"/>
      </c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68"/>
      <c r="AF37" s="68"/>
      <c r="AG37" s="68"/>
    </row>
    <row r="38" spans="3:33" ht="18">
      <c r="C38" s="292">
        <f>IF('Классный журнал'!C218="-",-1,IF('Классный журнал'!C218="+",1,""))</f>
        <v>1</v>
      </c>
      <c r="D38" s="35">
        <v>30</v>
      </c>
      <c r="E38" s="50" t="str">
        <f>'Классный журнал'!E218</f>
        <v>Степанов Олег</v>
      </c>
      <c r="F38" s="19">
        <f>IF(Статистика!E218="",0,Статистика!F38+Статистика!F98+Статистика!F158+Статистика!F218)</f>
        <v>27</v>
      </c>
      <c r="G38" s="19">
        <f>IF(Статистика!E218="",0,Статистика!G38+Статистика!G98+Статистика!G158+Статистика!G218)</f>
        <v>86</v>
      </c>
      <c r="H38" s="19">
        <f t="shared" si="1"/>
        <v>3.185185185185185</v>
      </c>
      <c r="I38" s="19"/>
      <c r="J38" s="19">
        <f t="shared" si="2"/>
        <v>15</v>
      </c>
      <c r="K38" s="19">
        <f>Статистика!T38</f>
      </c>
      <c r="L38" s="19">
        <f>Статистика!T98</f>
        <v>3</v>
      </c>
      <c r="M38" s="19">
        <f>Статистика!T158</f>
        <v>3</v>
      </c>
      <c r="N38" s="19">
        <f>Статистика!T218</f>
        <v>3</v>
      </c>
      <c r="O38" s="137">
        <f t="shared" si="0"/>
        <v>3</v>
      </c>
      <c r="P38" s="19">
        <f>IF(H38="","",Статистика!P38+Статистика!P98+Статистика!P158+Статистика!P218)</f>
        <v>0</v>
      </c>
      <c r="Q38" s="19">
        <f>IF(H38="","",Статистика!Q38+Статистика!Q98+Статистика!Q158+Статистика!Q218)</f>
        <v>0</v>
      </c>
      <c r="R38" s="19">
        <f>IF(H38="","",Статистика!R38+Статистика!R98+Статистика!R158+Статистика!R218)</f>
        <v>0</v>
      </c>
      <c r="S38" s="21">
        <f t="shared" si="3"/>
        <v>0</v>
      </c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68"/>
      <c r="AF38" s="68"/>
      <c r="AG38" s="68"/>
    </row>
    <row r="39" spans="3:33" ht="18">
      <c r="C39" s="292">
        <f>IF('Классный журнал'!C219="-",-1,IF('Классный журнал'!C219="+",1,""))</f>
        <v>1</v>
      </c>
      <c r="D39" s="22">
        <v>31</v>
      </c>
      <c r="E39" s="50" t="str">
        <f>'Классный журнал'!E219</f>
        <v>Сидоров Глеб</v>
      </c>
      <c r="F39" s="19">
        <f>IF(Статистика!E219="",0,Статистика!F39+Статистика!F99+Статистика!F159+Статистика!F219)</f>
        <v>18</v>
      </c>
      <c r="G39" s="19">
        <f>IF(Статистика!E219="",0,Статистика!G39+Статистика!G99+Статистика!G159+Статистика!G219)</f>
        <v>60</v>
      </c>
      <c r="H39" s="19">
        <f t="shared" si="1"/>
        <v>3.3333333333333335</v>
      </c>
      <c r="I39" s="19"/>
      <c r="J39" s="19">
        <f t="shared" si="2"/>
        <v>13</v>
      </c>
      <c r="K39" s="19">
        <f>Статистика!T39</f>
      </c>
      <c r="L39" s="19">
        <f>Статистика!T99</f>
      </c>
      <c r="M39" s="19">
        <f>Статистика!T159</f>
        <v>4</v>
      </c>
      <c r="N39" s="19">
        <f>Статистика!T219</f>
        <v>3</v>
      </c>
      <c r="O39" s="137">
        <f t="shared" si="0"/>
        <v>3</v>
      </c>
      <c r="P39" s="19">
        <f>IF(H39="","",Статистика!P39+Статистика!P99+Статистика!P159+Статистика!P219)</f>
        <v>0</v>
      </c>
      <c r="Q39" s="19">
        <f>IF(H39="","",Статистика!Q39+Статистика!Q99+Статистика!Q159+Статистика!Q219)</f>
        <v>0</v>
      </c>
      <c r="R39" s="19">
        <f>IF(H39="","",Статистика!R39+Статистика!R99+Статистика!R159+Статистика!R219)</f>
        <v>0</v>
      </c>
      <c r="S39" s="21">
        <f t="shared" si="3"/>
        <v>0</v>
      </c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68"/>
      <c r="AF39" s="68"/>
      <c r="AG39" s="68"/>
    </row>
    <row r="40" spans="3:33" ht="18">
      <c r="C40" s="292">
        <f>IF('Классный журнал'!C220="-",-1,IF('Классный журнал'!C220="+",1,""))</f>
        <v>1</v>
      </c>
      <c r="D40" s="35">
        <v>32</v>
      </c>
      <c r="E40" s="50" t="str">
        <f>'Классный журнал'!E220</f>
        <v>Есин Пётр</v>
      </c>
      <c r="F40" s="19">
        <f>IF(Статистика!E220="",0,Статистика!F40+Статистика!F100+Статистика!F160+Статистика!F220)</f>
        <v>7</v>
      </c>
      <c r="G40" s="19">
        <f>IF(Статистика!E220="",0,Статистика!G40+Статистика!G100+Статистика!G160+Статистика!G220)</f>
        <v>20</v>
      </c>
      <c r="H40" s="19">
        <f t="shared" si="1"/>
        <v>2.857142857142857</v>
      </c>
      <c r="I40" s="19"/>
      <c r="J40" s="19">
        <f t="shared" si="2"/>
        <v>22</v>
      </c>
      <c r="K40" s="19">
        <f>Статистика!T40</f>
      </c>
      <c r="L40" s="19">
        <f>Статистика!T100</f>
      </c>
      <c r="M40" s="19">
        <f>Статистика!T160</f>
      </c>
      <c r="N40" s="19">
        <f>Статистика!T220</f>
        <v>3</v>
      </c>
      <c r="O40" s="137">
        <f t="shared" si="0"/>
        <v>3</v>
      </c>
      <c r="P40" s="19">
        <f>IF(H40="","",Статистика!P40+Статистика!P100+Статистика!P160+Статистика!P220)</f>
        <v>0</v>
      </c>
      <c r="Q40" s="19">
        <f>IF(H40="","",Статистика!Q40+Статистика!Q100+Статистика!Q160+Статистика!Q220)</f>
        <v>0</v>
      </c>
      <c r="R40" s="19">
        <f>IF(H40="","",Статистика!R40+Статистика!R100+Статистика!R160+Статистика!R220)</f>
        <v>0</v>
      </c>
      <c r="S40" s="21">
        <f t="shared" si="3"/>
        <v>0</v>
      </c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68"/>
      <c r="AF40" s="68"/>
      <c r="AG40" s="68"/>
    </row>
    <row r="41" spans="3:33" ht="18">
      <c r="C41" s="292">
        <f>IF('Классный журнал'!C221="-",-1,IF('Классный журнал'!C221="+",1,""))</f>
        <v>1</v>
      </c>
      <c r="D41" s="22">
        <v>33</v>
      </c>
      <c r="E41" s="50" t="str">
        <f>'Классный журнал'!E221</f>
        <v>Котова Мария</v>
      </c>
      <c r="F41" s="19">
        <f>IF(Статистика!E221="",0,Статистика!F41+Статистика!F101+Статистика!F161+Статистика!F221)</f>
        <v>8</v>
      </c>
      <c r="G41" s="19">
        <f>IF(Статистика!E221="",0,Статистика!G41+Статистика!G101+Статистика!G161+Статистика!G221)</f>
        <v>34</v>
      </c>
      <c r="H41" s="19">
        <f t="shared" si="1"/>
        <v>4.25</v>
      </c>
      <c r="I41" s="19"/>
      <c r="J41" s="19">
        <f t="shared" si="2"/>
        <v>2</v>
      </c>
      <c r="K41" s="19">
        <f>Статистика!T41</f>
      </c>
      <c r="L41" s="19">
        <f>Статистика!T101</f>
      </c>
      <c r="M41" s="19">
        <f>Статистика!T161</f>
      </c>
      <c r="N41" s="19">
        <f>Статистика!T221</f>
        <v>4</v>
      </c>
      <c r="O41" s="137">
        <f t="shared" si="0"/>
        <v>4</v>
      </c>
      <c r="P41" s="19">
        <f>IF(H41="","",Статистика!P41+Статистика!P101+Статистика!P161+Статистика!P221)</f>
        <v>0</v>
      </c>
      <c r="Q41" s="19">
        <f>IF(H41="","",Статистика!Q41+Статистика!Q101+Статистика!Q161+Статистика!Q221)</f>
        <v>0</v>
      </c>
      <c r="R41" s="19">
        <f>IF(H41="","",Статистика!R41+Статистика!R101+Статистика!R161+Статистика!R221)</f>
        <v>0</v>
      </c>
      <c r="S41" s="21">
        <f t="shared" si="3"/>
        <v>0</v>
      </c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68"/>
      <c r="AF41" s="68"/>
      <c r="AG41" s="68"/>
    </row>
    <row r="42" spans="3:33" ht="18">
      <c r="C42" s="292">
        <f>IF('Классный журнал'!C222="-",-1,IF('Классный журнал'!C222="+",1,""))</f>
        <v>1</v>
      </c>
      <c r="D42" s="35">
        <v>34</v>
      </c>
      <c r="E42" s="50" t="str">
        <f>'Классный журнал'!E222</f>
        <v>Бузгин Иван</v>
      </c>
      <c r="F42" s="19">
        <f>IF(Статистика!E222="",0,Статистика!F42+Статистика!F102+Статистика!F162+Статистика!F222)</f>
        <v>8</v>
      </c>
      <c r="G42" s="19">
        <f>IF(Статистика!E222="",0,Статистика!G42+Статистика!G102+Статистика!G162+Статистика!G222)</f>
        <v>26</v>
      </c>
      <c r="H42" s="19">
        <f t="shared" si="1"/>
        <v>3.25</v>
      </c>
      <c r="I42" s="19"/>
      <c r="J42" s="19">
        <f t="shared" si="2"/>
        <v>14</v>
      </c>
      <c r="K42" s="19">
        <f>Статистика!T42</f>
      </c>
      <c r="L42" s="19">
        <f>Статистика!T102</f>
      </c>
      <c r="M42" s="19">
        <f>Статистика!T162</f>
      </c>
      <c r="N42" s="19">
        <f>Статистика!T222</f>
        <v>3</v>
      </c>
      <c r="O42" s="137">
        <f t="shared" si="0"/>
        <v>3</v>
      </c>
      <c r="P42" s="19">
        <f>IF(H42="","",Статистика!P42+Статистика!P102+Статистика!P162+Статистика!P222)</f>
        <v>0</v>
      </c>
      <c r="Q42" s="19">
        <f>IF(H42="","",Статистика!Q42+Статистика!Q102+Статистика!Q162+Статистика!Q222)</f>
        <v>0</v>
      </c>
      <c r="R42" s="19">
        <f>IF(H42="","",Статистика!R42+Статистика!R102+Статистика!R162+Статистика!R222)</f>
        <v>0</v>
      </c>
      <c r="S42" s="21">
        <f t="shared" si="3"/>
        <v>0</v>
      </c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68"/>
      <c r="AF42" s="68"/>
      <c r="AG42" s="68"/>
    </row>
    <row r="43" spans="3:33" ht="18.75" thickBot="1">
      <c r="C43" s="237">
        <f>IF('Классный журнал'!C223="-",-1,IF('Классный журнал'!C223="+",1,""))</f>
      </c>
      <c r="D43" s="35">
        <v>35</v>
      </c>
      <c r="E43" s="293">
        <f>'Классный журнал'!E223</f>
      </c>
      <c r="F43" s="36">
        <f>IF(Статистика!E223="",0,Статистика!F43+Статистика!F103+Статистика!F163+Статистика!F223)</f>
        <v>0</v>
      </c>
      <c r="G43" s="36">
        <f>IF(Статистика!E223="",0,Статистика!G43+Статистика!G103+Статистика!G163+Статистика!G223)</f>
        <v>0</v>
      </c>
      <c r="H43" s="36">
        <f t="shared" si="1"/>
      </c>
      <c r="I43" s="36"/>
      <c r="J43" s="36">
        <f t="shared" si="2"/>
      </c>
      <c r="K43" s="36">
        <f>Статистика!T43</f>
      </c>
      <c r="L43" s="36">
        <f>Статистика!T103</f>
      </c>
      <c r="M43" s="36">
        <f>Статистика!T163</f>
      </c>
      <c r="N43" s="36">
        <f>Статистика!T223</f>
      </c>
      <c r="O43" s="36">
        <f t="shared" si="0"/>
      </c>
      <c r="P43" s="36">
        <f>IF(H43="","",Статистика!P43+Статистика!P103+Статистика!P163+Статистика!P223)</f>
      </c>
      <c r="Q43" s="36">
        <f>IF(H43="","",Статистика!Q43+Статистика!Q103+Статистика!Q163+Статистика!Q223)</f>
      </c>
      <c r="R43" s="36">
        <f>IF(H43="","",Статистика!R43+Статистика!R103+Статистика!R163+Статистика!R223)</f>
      </c>
      <c r="S43" s="282">
        <f t="shared" si="3"/>
      </c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68"/>
      <c r="AF43" s="68"/>
      <c r="AG43" s="68"/>
    </row>
    <row r="44" spans="4:33" ht="19.5" thickBot="1" thickTop="1">
      <c r="D44" s="294"/>
      <c r="E44" s="295"/>
      <c r="F44" s="392" t="s">
        <v>236</v>
      </c>
      <c r="G44" s="375"/>
      <c r="H44" s="298">
        <f>SUM(H9:H43)/Статистика!T185</f>
        <v>3.2480011533835014</v>
      </c>
      <c r="I44" s="299"/>
      <c r="J44" s="300"/>
      <c r="K44" s="296"/>
      <c r="L44" s="297"/>
      <c r="M44" s="375" t="s">
        <v>237</v>
      </c>
      <c r="N44" s="375"/>
      <c r="O44" s="376"/>
      <c r="P44" s="301">
        <f>SUM(P9:P43)</f>
        <v>69</v>
      </c>
      <c r="Q44" s="301">
        <f>SUM(Q9:Q43)</f>
        <v>32</v>
      </c>
      <c r="R44" s="302">
        <f>SUM(R9:R43)</f>
        <v>94</v>
      </c>
      <c r="S44" s="302">
        <f>SUM(S9:S43)</f>
        <v>195</v>
      </c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68"/>
      <c r="AF44" s="68"/>
      <c r="AG44" s="68"/>
    </row>
    <row r="45" spans="21:33" ht="19.5" thickBot="1" thickTop="1"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68"/>
      <c r="AF45" s="68"/>
      <c r="AG45" s="68"/>
    </row>
    <row r="46" spans="6:33" ht="19.5" customHeight="1" thickTop="1">
      <c r="F46" s="377" t="s">
        <v>241</v>
      </c>
      <c r="G46" s="378"/>
      <c r="H46" s="378"/>
      <c r="I46" s="378"/>
      <c r="J46" s="379"/>
      <c r="K46" s="149">
        <f>Статистика!J5</f>
        <v>28</v>
      </c>
      <c r="L46" s="149">
        <f>Статистика!J65</f>
        <v>27</v>
      </c>
      <c r="M46" s="149">
        <f>Статистика!J125</f>
        <v>28</v>
      </c>
      <c r="N46" s="153">
        <f>Статистика!J185</f>
        <v>28</v>
      </c>
      <c r="O46" s="160">
        <f>K46</f>
        <v>28</v>
      </c>
      <c r="U46" s="88"/>
      <c r="V46" s="68"/>
      <c r="W46" s="68"/>
      <c r="X46" s="68"/>
      <c r="Y46" s="68"/>
      <c r="Z46" s="255"/>
      <c r="AA46" s="68"/>
      <c r="AB46" s="68"/>
      <c r="AC46" s="68"/>
      <c r="AD46" s="68"/>
      <c r="AE46" s="68"/>
      <c r="AF46" s="68"/>
      <c r="AG46" s="68"/>
    </row>
    <row r="47" spans="6:33" ht="18">
      <c r="F47" s="387" t="s">
        <v>239</v>
      </c>
      <c r="G47" s="388"/>
      <c r="H47" s="388"/>
      <c r="I47" s="388"/>
      <c r="J47" s="388"/>
      <c r="K47" s="151">
        <f>Статистика!N5</f>
        <v>1</v>
      </c>
      <c r="L47" s="151">
        <f>Статистика!N65</f>
        <v>1</v>
      </c>
      <c r="M47" s="151">
        <f>Статистика!N125</f>
        <v>1</v>
      </c>
      <c r="N47" s="154">
        <f>Статистика!N185</f>
        <v>3</v>
      </c>
      <c r="O47" s="161">
        <f>SUM(K47:N47)</f>
        <v>6</v>
      </c>
      <c r="U47" s="8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</row>
    <row r="48" spans="6:33" ht="18">
      <c r="F48" s="390" t="s">
        <v>240</v>
      </c>
      <c r="G48" s="391"/>
      <c r="H48" s="391"/>
      <c r="I48" s="391"/>
      <c r="J48" s="391"/>
      <c r="K48" s="152">
        <f>Статистика!Q5</f>
        <v>2</v>
      </c>
      <c r="L48" s="152">
        <f>Статистика!$Q65</f>
        <v>0</v>
      </c>
      <c r="M48" s="152">
        <f>Статистика!$Q125</f>
        <v>1</v>
      </c>
      <c r="N48" s="155">
        <f>Статистика!$Q185</f>
        <v>0</v>
      </c>
      <c r="O48" s="161">
        <f>SUM(K48:N48)</f>
        <v>3</v>
      </c>
      <c r="U48" s="8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</row>
    <row r="49" spans="6:33" ht="18">
      <c r="F49" s="390" t="s">
        <v>242</v>
      </c>
      <c r="G49" s="391"/>
      <c r="H49" s="391"/>
      <c r="I49" s="391"/>
      <c r="J49" s="391"/>
      <c r="K49" s="152">
        <f>Статистика!T5</f>
        <v>27</v>
      </c>
      <c r="L49" s="152">
        <f>Статистика!T65</f>
        <v>28</v>
      </c>
      <c r="M49" s="152">
        <f>Статистика!T125</f>
        <v>28</v>
      </c>
      <c r="N49" s="155">
        <f>Статистика!T185</f>
        <v>31</v>
      </c>
      <c r="O49" s="161">
        <f>Статистика!T185</f>
        <v>31</v>
      </c>
      <c r="U49" s="8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</row>
    <row r="50" spans="6:15" ht="18.75" customHeight="1" thickBot="1">
      <c r="F50" s="356" t="s">
        <v>244</v>
      </c>
      <c r="G50" s="357"/>
      <c r="H50" s="357"/>
      <c r="I50" s="357"/>
      <c r="J50" s="365"/>
      <c r="K50" s="144">
        <f>35-(COUNTIF(K9:K43,"н/а")+COUNTBLANK(K9:K43))</f>
        <v>27</v>
      </c>
      <c r="L50" s="144">
        <f>35-(COUNTIF(L9:L43,"н/а")+COUNTBLANK(L9:L43))</f>
        <v>28</v>
      </c>
      <c r="M50" s="144">
        <f>35-(COUNTIF(M9:M43,"н/а")+COUNTIF(M9:M43,""))</f>
        <v>28</v>
      </c>
      <c r="N50" s="156">
        <f>35-(COUNTIF(N9:N43,"н/а")+COUNTIF(N9:N43,""))</f>
        <v>30</v>
      </c>
      <c r="O50" s="162">
        <f>35-(COUNTIF(O9:O43,"н/а")+COUNTIF(O9:O43,""))</f>
        <v>31</v>
      </c>
    </row>
    <row r="51" spans="6:15" ht="18" customHeight="1" thickTop="1">
      <c r="F51" s="366" t="s">
        <v>238</v>
      </c>
      <c r="G51" s="367"/>
      <c r="H51" s="367"/>
      <c r="I51" s="368"/>
      <c r="J51" s="148" t="s">
        <v>40</v>
      </c>
      <c r="K51" s="145">
        <f>COUNTIF(K9:K43,"5")</f>
        <v>2</v>
      </c>
      <c r="L51" s="145">
        <f>COUNTIF(L9:L43,"5")</f>
        <v>1</v>
      </c>
      <c r="M51" s="145">
        <f>COUNTIF(M9:M43,"5")</f>
        <v>0</v>
      </c>
      <c r="N51" s="157">
        <f>COUNTIF(N9:N43,"5")</f>
        <v>0</v>
      </c>
      <c r="O51" s="163">
        <f>COUNTIF(O9:O43,"5")</f>
        <v>0</v>
      </c>
    </row>
    <row r="52" spans="6:15" ht="18" customHeight="1">
      <c r="F52" s="369"/>
      <c r="G52" s="370"/>
      <c r="H52" s="370"/>
      <c r="I52" s="371"/>
      <c r="J52" s="19" t="s">
        <v>41</v>
      </c>
      <c r="K52" s="139">
        <f>COUNTIF(K9:K43,"4")</f>
        <v>5</v>
      </c>
      <c r="L52" s="139">
        <f>COUNTIF(L9:L43,"4")</f>
        <v>5</v>
      </c>
      <c r="M52" s="139">
        <f>COUNTIF(M9:M43,"4")</f>
        <v>6</v>
      </c>
      <c r="N52" s="158">
        <f>COUNTIF(N9:N43,"4")</f>
        <v>7</v>
      </c>
      <c r="O52" s="164">
        <f>COUNTIF(O9:O43,"4")</f>
        <v>5</v>
      </c>
    </row>
    <row r="53" spans="6:15" ht="18" customHeight="1">
      <c r="F53" s="369"/>
      <c r="G53" s="370"/>
      <c r="H53" s="370"/>
      <c r="I53" s="371"/>
      <c r="J53" s="19" t="s">
        <v>42</v>
      </c>
      <c r="K53" s="139">
        <f>COUNTIF(K9:K43,"3")</f>
        <v>15</v>
      </c>
      <c r="L53" s="139">
        <f>COUNTIF(L9:L43,"3")</f>
        <v>20</v>
      </c>
      <c r="M53" s="139">
        <f>COUNTIF(M9:M43,"3")</f>
        <v>21</v>
      </c>
      <c r="N53" s="158">
        <f>COUNTIF(N9:N43,"3")</f>
        <v>20</v>
      </c>
      <c r="O53" s="165">
        <f>COUNTIF(O9:O43,"3")</f>
        <v>24</v>
      </c>
    </row>
    <row r="54" spans="6:15" ht="18.75" customHeight="1">
      <c r="F54" s="369"/>
      <c r="G54" s="370"/>
      <c r="H54" s="370"/>
      <c r="I54" s="371"/>
      <c r="J54" s="19" t="s">
        <v>43</v>
      </c>
      <c r="K54" s="139">
        <f>COUNTIF(K9:K43,"2")</f>
        <v>5</v>
      </c>
      <c r="L54" s="139">
        <f>COUNTIF(L9:L43,"2")</f>
        <v>2</v>
      </c>
      <c r="M54" s="139">
        <f>COUNTIF(M9:M43,"2")</f>
        <v>1</v>
      </c>
      <c r="N54" s="158">
        <f>COUNTIF(N9:N43,"2")</f>
        <v>3</v>
      </c>
      <c r="O54" s="166">
        <f>COUNTIF(O9:O43,"2")</f>
        <v>2</v>
      </c>
    </row>
    <row r="55" spans="6:15" ht="21" customHeight="1">
      <c r="F55" s="369"/>
      <c r="G55" s="370"/>
      <c r="H55" s="370"/>
      <c r="I55" s="371"/>
      <c r="J55" s="19" t="s">
        <v>44</v>
      </c>
      <c r="K55" s="139">
        <f>COUNTIF(K9:K43,"1")</f>
        <v>0</v>
      </c>
      <c r="L55" s="139">
        <f>COUNTIF(L9:L43,"1")</f>
        <v>0</v>
      </c>
      <c r="M55" s="139">
        <f>COUNTIF(M9:M43,"1")</f>
        <v>0</v>
      </c>
      <c r="N55" s="158">
        <f>COUNTIF(N9:N43,"1")</f>
        <v>0</v>
      </c>
      <c r="O55" s="166">
        <f>COUNTIF(O9:O43,"1")</f>
        <v>0</v>
      </c>
    </row>
    <row r="56" spans="6:15" ht="18.75" thickBot="1">
      <c r="F56" s="372"/>
      <c r="G56" s="373"/>
      <c r="H56" s="373"/>
      <c r="I56" s="374"/>
      <c r="J56" s="36" t="s">
        <v>243</v>
      </c>
      <c r="K56" s="150">
        <f>K49-K50</f>
        <v>0</v>
      </c>
      <c r="L56" s="150">
        <f>L49-L50</f>
        <v>0</v>
      </c>
      <c r="M56" s="150">
        <f>M49-M50</f>
        <v>0</v>
      </c>
      <c r="N56" s="159">
        <f>N49-N50</f>
        <v>1</v>
      </c>
      <c r="O56" s="167">
        <f>O49-O50</f>
        <v>0</v>
      </c>
    </row>
    <row r="57" spans="6:15" ht="46.5" thickTop="1">
      <c r="F57" s="377" t="s">
        <v>251</v>
      </c>
      <c r="G57" s="386"/>
      <c r="H57" s="386"/>
      <c r="I57" s="386"/>
      <c r="J57" s="386"/>
      <c r="K57" s="175">
        <f>((K51+K52+K53)/K50)*100</f>
        <v>81.48148148148148</v>
      </c>
      <c r="L57" s="174">
        <f>((L51+L52+L53)/L50)*100</f>
        <v>92.85714285714286</v>
      </c>
      <c r="M57" s="174">
        <f>((M51+M52+M53)/M50)*100</f>
        <v>96.42857142857143</v>
      </c>
      <c r="N57" s="180">
        <f>((N51+N52+N53)/N50)*100</f>
        <v>90</v>
      </c>
      <c r="O57" s="183">
        <f>((O51+O52+O53)/O50)*100</f>
        <v>93.54838709677419</v>
      </c>
    </row>
    <row r="58" spans="6:15" ht="45.75">
      <c r="F58" s="384" t="s">
        <v>252</v>
      </c>
      <c r="G58" s="385"/>
      <c r="H58" s="385"/>
      <c r="I58" s="385"/>
      <c r="J58" s="385"/>
      <c r="K58" s="176">
        <f>((K51+K52)/K50)*100</f>
        <v>25.925925925925924</v>
      </c>
      <c r="L58" s="177">
        <f>((L51+L52)/L50)*100</f>
        <v>21.428571428571427</v>
      </c>
      <c r="M58" s="177">
        <f>((M51+M52)/M50)*100</f>
        <v>21.428571428571427</v>
      </c>
      <c r="N58" s="181">
        <f>((N51+N52)/N50)*100</f>
        <v>23.333333333333332</v>
      </c>
      <c r="O58" s="184">
        <f>((O51+O52)/O50)*100</f>
        <v>16.129032258064516</v>
      </c>
    </row>
    <row r="59" spans="6:15" ht="46.5" thickBot="1">
      <c r="F59" s="356" t="s">
        <v>253</v>
      </c>
      <c r="G59" s="357"/>
      <c r="H59" s="357"/>
      <c r="I59" s="357"/>
      <c r="J59" s="357"/>
      <c r="K59" s="178">
        <f>((K51+K52*0.64+K53*0.32+(K54+K55)*0.16)/K50)*100</f>
        <v>40</v>
      </c>
      <c r="L59" s="179">
        <f>((L51+L52*0.64+L53*0.32+(L54+L55)*0.16)/L50)*100</f>
        <v>39.00000000000001</v>
      </c>
      <c r="M59" s="179">
        <f>((M51+M52*0.64+M53*0.32+(M54+M55)*0.16)/M50)*100</f>
        <v>38.285714285714285</v>
      </c>
      <c r="N59" s="182">
        <f>((N51+N52*0.64+N53*0.32+(N54+N55)*0.16)/N50)*100</f>
        <v>37.866666666666674</v>
      </c>
      <c r="O59" s="185">
        <f>((O51+O52*0.64+O53*0.32+(O54+O55)*0.16)/O50)*100</f>
        <v>36.12903225806451</v>
      </c>
    </row>
    <row r="60" ht="13.5" thickTop="1"/>
  </sheetData>
  <sheetProtection password="C100" sheet="1" objects="1" scenarios="1" selectLockedCells="1"/>
  <mergeCells count="19">
    <mergeCell ref="P6:R6"/>
    <mergeCell ref="K7:N7"/>
    <mergeCell ref="P7:S7"/>
    <mergeCell ref="F58:J58"/>
    <mergeCell ref="F57:J57"/>
    <mergeCell ref="F47:J47"/>
    <mergeCell ref="H6:I6"/>
    <mergeCell ref="F48:J48"/>
    <mergeCell ref="F49:J49"/>
    <mergeCell ref="F44:G44"/>
    <mergeCell ref="F59:J59"/>
    <mergeCell ref="F5:G5"/>
    <mergeCell ref="E4:G4"/>
    <mergeCell ref="H5:I5"/>
    <mergeCell ref="J5:O5"/>
    <mergeCell ref="F50:J50"/>
    <mergeCell ref="F51:I56"/>
    <mergeCell ref="M44:O44"/>
    <mergeCell ref="F46:J46"/>
  </mergeCells>
  <conditionalFormatting sqref="E44">
    <cfRule type="expression" priority="1" dxfId="0" stopIfTrue="1">
      <formula>C44="-1"</formula>
    </cfRule>
    <cfRule type="expression" priority="2" dxfId="1" stopIfTrue="1">
      <formula>C44="1"</formula>
    </cfRule>
  </conditionalFormatting>
  <conditionalFormatting sqref="E9:E43">
    <cfRule type="expression" priority="3" dxfId="0" stopIfTrue="1">
      <formula>C9=-1</formula>
    </cfRule>
    <cfRule type="expression" priority="4" dxfId="1" stopIfTrue="1">
      <formula>C9=1</formula>
    </cfRule>
  </conditionalFormatting>
  <conditionalFormatting sqref="C43">
    <cfRule type="cellIs" priority="5" dxfId="0" operator="equal" stopIfTrue="1">
      <formula>-1</formula>
    </cfRule>
    <cfRule type="cellIs" priority="6" dxfId="1" operator="equal" stopIfTrue="1">
      <formula>1</formula>
    </cfRule>
  </conditionalFormatting>
  <conditionalFormatting sqref="F10:F43">
    <cfRule type="expression" priority="7" dxfId="0" stopIfTrue="1">
      <formula>C10=-1</formula>
    </cfRule>
    <cfRule type="expression" priority="8" dxfId="1" stopIfTrue="1">
      <formula>C10=1</formula>
    </cfRule>
  </conditionalFormatting>
  <conditionalFormatting sqref="F9 G9:N43 P9:S43 O43">
    <cfRule type="expression" priority="9" dxfId="0" stopIfTrue="1">
      <formula>$C9=-1</formula>
    </cfRule>
    <cfRule type="expression" priority="10" dxfId="1" stopIfTrue="1">
      <formula>$C9=1</formula>
    </cfRule>
  </conditionalFormatting>
  <hyperlinks>
    <hyperlink ref="F6" location="'Классный журнал'!A154" display="Журнал-9А"/>
  </hyperlinks>
  <printOptions horizontalCentered="1"/>
  <pageMargins left="0.58" right="0.36" top="0.3937007874015748" bottom="0.3937007874015748" header="0.2362204724409449" footer="0.1968503937007874"/>
  <pageSetup horizontalDpi="600" verticalDpi="600" orientation="portrait" paperSize="9" scale="51" r:id="rId1"/>
  <ignoredErrors>
    <ignoredError sqref="J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15"/>
  </sheetPr>
  <dimension ref="B2:Z111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3.875" style="0" bestFit="1" customWidth="1"/>
    <col min="3" max="3" width="4.75390625" style="0" bestFit="1" customWidth="1"/>
    <col min="4" max="4" width="4.125" style="0" bestFit="1" customWidth="1"/>
    <col min="5" max="5" width="26.375" style="0" bestFit="1" customWidth="1"/>
    <col min="6" max="6" width="8.00390625" style="0" bestFit="1" customWidth="1"/>
    <col min="7" max="12" width="9.375" style="0" customWidth="1"/>
    <col min="13" max="14" width="8.25390625" style="0" customWidth="1"/>
    <col min="15" max="15" width="9.75390625" style="0" customWidth="1"/>
    <col min="16" max="16" width="10.625" style="0" bestFit="1" customWidth="1"/>
    <col min="17" max="18" width="9.75390625" style="0" customWidth="1"/>
    <col min="19" max="19" width="10.00390625" style="0" bestFit="1" customWidth="1"/>
    <col min="20" max="20" width="9.00390625" style="0" bestFit="1" customWidth="1"/>
  </cols>
  <sheetData>
    <row r="1" ht="12.75" customHeight="1"/>
    <row r="2" ht="12.75">
      <c r="B2" s="64"/>
    </row>
    <row r="3" ht="12.75" customHeight="1">
      <c r="B3" s="63"/>
    </row>
    <row r="4" ht="18.75">
      <c r="B4" s="63"/>
    </row>
    <row r="5" spans="2:17" ht="18.75">
      <c r="B5" s="63"/>
      <c r="G5" s="71" t="s">
        <v>206</v>
      </c>
      <c r="H5" s="65"/>
      <c r="I5" s="65"/>
      <c r="J5" s="65"/>
      <c r="K5" s="65"/>
      <c r="L5" s="65"/>
      <c r="M5" s="72" t="s">
        <v>208</v>
      </c>
      <c r="N5" s="65"/>
      <c r="O5" s="65" t="s">
        <v>207</v>
      </c>
      <c r="P5" s="73">
        <f ca="1">NOW()</f>
        <v>39252.58940462963</v>
      </c>
      <c r="Q5" s="74"/>
    </row>
    <row r="6" ht="13.5" thickBot="1"/>
    <row r="7" spans="4:21" ht="15.75" thickTop="1">
      <c r="D7" s="94"/>
      <c r="E7" s="104">
        <f ca="1">NOW()</f>
        <v>39252.58940462963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05"/>
      <c r="U7" s="110"/>
    </row>
    <row r="8" spans="4:21" ht="15">
      <c r="D8" s="66"/>
      <c r="E8" s="97" t="str">
        <f>M5</f>
        <v>ФИЗИКА</v>
      </c>
      <c r="F8" s="67">
        <f>'Классный журнал'!F8</f>
        <v>38966</v>
      </c>
      <c r="G8" s="67">
        <f>'Классный журнал'!G8</f>
        <v>38969</v>
      </c>
      <c r="H8" s="67">
        <f>'Классный журнал'!H8</f>
        <v>38973</v>
      </c>
      <c r="I8" s="67">
        <f>'Классный журнал'!I8</f>
        <v>38976</v>
      </c>
      <c r="J8" s="67">
        <f>'Классный журнал'!J8</f>
        <v>38980</v>
      </c>
      <c r="K8" s="67">
        <f>'Классный журнал'!K8</f>
        <v>38983</v>
      </c>
      <c r="L8" s="67">
        <f>'Классный журнал'!L8</f>
        <v>38987</v>
      </c>
      <c r="M8" s="67">
        <f>'Классный журнал'!M8</f>
        <v>38990</v>
      </c>
      <c r="N8" s="67">
        <f>'Классный журнал'!N8</f>
        <v>38994</v>
      </c>
      <c r="O8" s="67">
        <f>'Классный журнал'!O8</f>
        <v>38997</v>
      </c>
      <c r="P8" s="67">
        <f>'Классный журнал'!P8</f>
        <v>39001</v>
      </c>
      <c r="Q8" s="67">
        <f>'Классный журнал'!Q8</f>
        <v>39004</v>
      </c>
      <c r="R8" s="67">
        <f>'Классный журнал'!R8</f>
        <v>39008</v>
      </c>
      <c r="S8" s="67">
        <f>'Классный журнал'!S8</f>
        <v>39011</v>
      </c>
      <c r="T8" s="106">
        <f>'Классный журнал'!T8</f>
        <v>39015</v>
      </c>
      <c r="U8" s="110"/>
    </row>
    <row r="9" spans="4:21" ht="15.75" thickBot="1">
      <c r="D9" s="92">
        <f>'Классный журнал'!D9</f>
        <v>1</v>
      </c>
      <c r="E9" s="93" t="str">
        <f>'Классный журнал'!E9</f>
        <v>Алексеева Настя</v>
      </c>
      <c r="F9" s="98">
        <f>'Классный журнал'!F9</f>
        <v>3</v>
      </c>
      <c r="G9" s="98">
        <f>'Классный журнал'!G9</f>
        <v>0</v>
      </c>
      <c r="H9" s="98">
        <f>'Классный журнал'!H9</f>
        <v>4</v>
      </c>
      <c r="I9" s="98">
        <f>'Классный журнал'!I9</f>
        <v>0</v>
      </c>
      <c r="J9" s="98">
        <f>'Классный журнал'!J9</f>
        <v>4</v>
      </c>
      <c r="K9" s="98">
        <f>'Классный журнал'!K9</f>
        <v>0</v>
      </c>
      <c r="L9" s="98">
        <f>'Классный журнал'!L9</f>
        <v>5</v>
      </c>
      <c r="M9" s="98">
        <f>'Классный журнал'!M9</f>
        <v>0</v>
      </c>
      <c r="N9" s="98">
        <f>'Классный журнал'!N9</f>
        <v>5</v>
      </c>
      <c r="O9" s="98">
        <f>'Классный журнал'!O9</f>
        <v>0</v>
      </c>
      <c r="P9" s="98">
        <f>'Классный журнал'!P9</f>
        <v>5</v>
      </c>
      <c r="Q9" s="98" t="str">
        <f>'Классный журнал'!Q9</f>
        <v>н</v>
      </c>
      <c r="R9" s="98">
        <f>'Классный журнал'!R9</f>
        <v>0</v>
      </c>
      <c r="S9" s="98">
        <f>'Классный журнал'!S9</f>
        <v>3</v>
      </c>
      <c r="T9" s="107">
        <f>'Классный журнал'!T9</f>
        <v>0</v>
      </c>
      <c r="U9" s="110"/>
    </row>
    <row r="10" spans="4:21" ht="15.75" thickTop="1">
      <c r="D10" s="99"/>
      <c r="E10" s="104">
        <f>$E$7</f>
        <v>39252.58940462963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108"/>
      <c r="U10" s="110"/>
    </row>
    <row r="11" spans="4:21" ht="15">
      <c r="D11" s="100"/>
      <c r="E11" s="97" t="str">
        <f aca="true" t="shared" si="0" ref="E11:T11">E8</f>
        <v>ФИЗИКА</v>
      </c>
      <c r="F11" s="67">
        <f t="shared" si="0"/>
        <v>38966</v>
      </c>
      <c r="G11" s="67">
        <f t="shared" si="0"/>
        <v>38969</v>
      </c>
      <c r="H11" s="67">
        <f t="shared" si="0"/>
        <v>38973</v>
      </c>
      <c r="I11" s="67">
        <f t="shared" si="0"/>
        <v>38976</v>
      </c>
      <c r="J11" s="67">
        <f t="shared" si="0"/>
        <v>38980</v>
      </c>
      <c r="K11" s="67">
        <f t="shared" si="0"/>
        <v>38983</v>
      </c>
      <c r="L11" s="67">
        <f t="shared" si="0"/>
        <v>38987</v>
      </c>
      <c r="M11" s="67">
        <f t="shared" si="0"/>
        <v>38990</v>
      </c>
      <c r="N11" s="67">
        <f t="shared" si="0"/>
        <v>38994</v>
      </c>
      <c r="O11" s="67">
        <f t="shared" si="0"/>
        <v>38997</v>
      </c>
      <c r="P11" s="67">
        <f t="shared" si="0"/>
        <v>39001</v>
      </c>
      <c r="Q11" s="67">
        <f t="shared" si="0"/>
        <v>39004</v>
      </c>
      <c r="R11" s="67">
        <f t="shared" si="0"/>
        <v>39008</v>
      </c>
      <c r="S11" s="67">
        <f t="shared" si="0"/>
        <v>39011</v>
      </c>
      <c r="T11" s="106">
        <f t="shared" si="0"/>
        <v>39015</v>
      </c>
      <c r="U11" s="110"/>
    </row>
    <row r="12" spans="4:21" ht="15.75" thickBot="1">
      <c r="D12" s="92">
        <f>'Классный журнал'!D190</f>
        <v>2</v>
      </c>
      <c r="E12" s="93" t="str">
        <f>'Классный журнал'!E10</f>
        <v>Богоутдинов Данил</v>
      </c>
      <c r="F12" s="98">
        <f>'Классный журнал'!F10</f>
        <v>0</v>
      </c>
      <c r="G12" s="98">
        <f>'Классный журнал'!G10</f>
        <v>3</v>
      </c>
      <c r="H12" s="98">
        <f>'Классный журнал'!H10</f>
        <v>0</v>
      </c>
      <c r="I12" s="98" t="str">
        <f>'Классный журнал'!I10</f>
        <v>н</v>
      </c>
      <c r="J12" s="98">
        <f>'Классный журнал'!J10</f>
        <v>4</v>
      </c>
      <c r="K12" s="98" t="str">
        <f>'Классный журнал'!K10</f>
        <v>н/б</v>
      </c>
      <c r="L12" s="98">
        <f>'Классный журнал'!L10</f>
        <v>3</v>
      </c>
      <c r="M12" s="98">
        <f>'Классный журнал'!M10</f>
        <v>0</v>
      </c>
      <c r="N12" s="98" t="str">
        <f>'Классный журнал'!N10</f>
        <v>н/у</v>
      </c>
      <c r="O12" s="98">
        <f>'Классный журнал'!O10</f>
        <v>4</v>
      </c>
      <c r="P12" s="98">
        <f>'Классный журнал'!P10</f>
        <v>4</v>
      </c>
      <c r="Q12" s="98" t="str">
        <f>'Классный журнал'!Q10</f>
        <v>н</v>
      </c>
      <c r="R12" s="98">
        <f>'Классный журнал'!R10</f>
        <v>0</v>
      </c>
      <c r="S12" s="98">
        <f>'Классный журнал'!S10</f>
        <v>4</v>
      </c>
      <c r="T12" s="107">
        <f>'Классный журнал'!T10</f>
        <v>3</v>
      </c>
      <c r="U12" s="110"/>
    </row>
    <row r="13" spans="4:21" ht="15.75" thickTop="1">
      <c r="D13" s="99"/>
      <c r="E13" s="104">
        <f>$E$7</f>
        <v>39252.58940462963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108"/>
      <c r="U13" s="110"/>
    </row>
    <row r="14" spans="4:21" ht="15">
      <c r="D14" s="100"/>
      <c r="E14" s="97" t="str">
        <f aca="true" t="shared" si="1" ref="E14:T14">E8</f>
        <v>ФИЗИКА</v>
      </c>
      <c r="F14" s="67">
        <f t="shared" si="1"/>
        <v>38966</v>
      </c>
      <c r="G14" s="67">
        <f t="shared" si="1"/>
        <v>38969</v>
      </c>
      <c r="H14" s="67">
        <f t="shared" si="1"/>
        <v>38973</v>
      </c>
      <c r="I14" s="67">
        <f t="shared" si="1"/>
        <v>38976</v>
      </c>
      <c r="J14" s="67">
        <f t="shared" si="1"/>
        <v>38980</v>
      </c>
      <c r="K14" s="67">
        <f t="shared" si="1"/>
        <v>38983</v>
      </c>
      <c r="L14" s="67">
        <f t="shared" si="1"/>
        <v>38987</v>
      </c>
      <c r="M14" s="67">
        <f t="shared" si="1"/>
        <v>38990</v>
      </c>
      <c r="N14" s="67">
        <f t="shared" si="1"/>
        <v>38994</v>
      </c>
      <c r="O14" s="67">
        <f t="shared" si="1"/>
        <v>38997</v>
      </c>
      <c r="P14" s="67">
        <f t="shared" si="1"/>
        <v>39001</v>
      </c>
      <c r="Q14" s="67">
        <f t="shared" si="1"/>
        <v>39004</v>
      </c>
      <c r="R14" s="67">
        <f t="shared" si="1"/>
        <v>39008</v>
      </c>
      <c r="S14" s="67">
        <f t="shared" si="1"/>
        <v>39011</v>
      </c>
      <c r="T14" s="106">
        <f t="shared" si="1"/>
        <v>39015</v>
      </c>
      <c r="U14" s="110"/>
    </row>
    <row r="15" spans="4:21" ht="15.75" thickBot="1">
      <c r="D15" s="92">
        <f>'Классный журнал'!D191</f>
        <v>3</v>
      </c>
      <c r="E15" s="93" t="str">
        <f>'Классный журнал'!E11</f>
        <v>Бавеян Рафик</v>
      </c>
      <c r="F15" s="98">
        <f>'Классный журнал'!F11</f>
        <v>0</v>
      </c>
      <c r="G15" s="98">
        <f>'Классный журнал'!G11</f>
        <v>5</v>
      </c>
      <c r="H15" s="98">
        <f>'Классный журнал'!H11</f>
        <v>2</v>
      </c>
      <c r="I15" s="98">
        <f>'Классный журнал'!I11</f>
        <v>0</v>
      </c>
      <c r="J15" s="98">
        <f>'Классный журнал'!J11</f>
        <v>3</v>
      </c>
      <c r="K15" s="98">
        <f>'Классный журнал'!K11</f>
        <v>2</v>
      </c>
      <c r="L15" s="98" t="str">
        <f>'Классный журнал'!L11</f>
        <v>н/б</v>
      </c>
      <c r="M15" s="98" t="str">
        <f>'Классный журнал'!M11</f>
        <v>н/б</v>
      </c>
      <c r="N15" s="98">
        <f>'Классный журнал'!N11</f>
        <v>1</v>
      </c>
      <c r="O15" s="98" t="str">
        <f>'Классный журнал'!O11</f>
        <v>н</v>
      </c>
      <c r="P15" s="98" t="str">
        <f>'Классный журнал'!P11</f>
        <v>н</v>
      </c>
      <c r="Q15" s="98">
        <f>'Классный журнал'!Q11</f>
        <v>0</v>
      </c>
      <c r="R15" s="98">
        <f>'Классный журнал'!R11</f>
        <v>3</v>
      </c>
      <c r="S15" s="98">
        <f>'Классный журнал'!S11</f>
        <v>0</v>
      </c>
      <c r="T15" s="107">
        <f>'Классный журнал'!T11</f>
        <v>0</v>
      </c>
      <c r="U15" s="110"/>
    </row>
    <row r="16" spans="4:21" ht="15.75" thickTop="1">
      <c r="D16" s="99"/>
      <c r="E16" s="104">
        <f>$E$7</f>
        <v>39252.58940462963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108"/>
      <c r="U16" s="110"/>
    </row>
    <row r="17" spans="4:21" ht="15">
      <c r="D17" s="100"/>
      <c r="E17" s="97" t="str">
        <f>E8</f>
        <v>ФИЗИКА</v>
      </c>
      <c r="F17" s="67">
        <f>F8</f>
        <v>38966</v>
      </c>
      <c r="G17" s="67">
        <f>G8</f>
        <v>38969</v>
      </c>
      <c r="H17" s="67">
        <f aca="true" t="shared" si="2" ref="H17:T17">H8</f>
        <v>38973</v>
      </c>
      <c r="I17" s="67">
        <f t="shared" si="2"/>
        <v>38976</v>
      </c>
      <c r="J17" s="67">
        <f t="shared" si="2"/>
        <v>38980</v>
      </c>
      <c r="K17" s="67">
        <f t="shared" si="2"/>
        <v>38983</v>
      </c>
      <c r="L17" s="67">
        <f t="shared" si="2"/>
        <v>38987</v>
      </c>
      <c r="M17" s="67">
        <f t="shared" si="2"/>
        <v>38990</v>
      </c>
      <c r="N17" s="67">
        <f t="shared" si="2"/>
        <v>38994</v>
      </c>
      <c r="O17" s="67">
        <f t="shared" si="2"/>
        <v>38997</v>
      </c>
      <c r="P17" s="67">
        <f t="shared" si="2"/>
        <v>39001</v>
      </c>
      <c r="Q17" s="67">
        <f t="shared" si="2"/>
        <v>39004</v>
      </c>
      <c r="R17" s="67">
        <f t="shared" si="2"/>
        <v>39008</v>
      </c>
      <c r="S17" s="67">
        <f t="shared" si="2"/>
        <v>39011</v>
      </c>
      <c r="T17" s="106">
        <f t="shared" si="2"/>
        <v>39015</v>
      </c>
      <c r="U17" s="110"/>
    </row>
    <row r="18" spans="4:21" ht="15.75" thickBot="1">
      <c r="D18" s="92">
        <f>'Классный журнал'!D192</f>
        <v>4</v>
      </c>
      <c r="E18" s="93" t="str">
        <f>'Классный журнал'!E12</f>
        <v>Бахметьев Михаил</v>
      </c>
      <c r="F18" s="98" t="str">
        <f>'Классный журнал'!F12</f>
        <v>н</v>
      </c>
      <c r="G18" s="98">
        <f>'Классный журнал'!G12</f>
        <v>3</v>
      </c>
      <c r="H18" s="98">
        <f>'Классный журнал'!H12</f>
        <v>2</v>
      </c>
      <c r="I18" s="98">
        <f>'Классный журнал'!I12</f>
        <v>0</v>
      </c>
      <c r="J18" s="98">
        <f>'Классный журнал'!J12</f>
        <v>4</v>
      </c>
      <c r="K18" s="98">
        <f>'Классный журнал'!K12</f>
        <v>0</v>
      </c>
      <c r="L18" s="98">
        <f>'Классный журнал'!L12</f>
        <v>4</v>
      </c>
      <c r="M18" s="98">
        <f>'Классный журнал'!M12</f>
        <v>2</v>
      </c>
      <c r="N18" s="98">
        <f>'Классный журнал'!N12</f>
        <v>3</v>
      </c>
      <c r="O18" s="98">
        <f>'Классный журнал'!O12</f>
        <v>3</v>
      </c>
      <c r="P18" s="98">
        <f>'Классный журнал'!P12</f>
        <v>3</v>
      </c>
      <c r="Q18" s="98">
        <f>'Классный журнал'!Q12</f>
        <v>0</v>
      </c>
      <c r="R18" s="98">
        <f>'Классный журнал'!R12</f>
        <v>0</v>
      </c>
      <c r="S18" s="98">
        <f>'Классный журнал'!S12</f>
        <v>0</v>
      </c>
      <c r="T18" s="107">
        <f>'Классный журнал'!T12</f>
        <v>0</v>
      </c>
      <c r="U18" s="110"/>
    </row>
    <row r="19" spans="4:21" ht="15.75" thickTop="1">
      <c r="D19" s="99"/>
      <c r="E19" s="104">
        <f>$E$7</f>
        <v>39252.58940462963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108"/>
      <c r="U19" s="110"/>
    </row>
    <row r="20" spans="4:21" ht="15">
      <c r="D20" s="100"/>
      <c r="E20" s="97" t="str">
        <f>E8</f>
        <v>ФИЗИКА</v>
      </c>
      <c r="F20" s="67">
        <f>F8</f>
        <v>38966</v>
      </c>
      <c r="G20" s="67">
        <f aca="true" t="shared" si="3" ref="G20:S20">G8</f>
        <v>38969</v>
      </c>
      <c r="H20" s="67">
        <f t="shared" si="3"/>
        <v>38973</v>
      </c>
      <c r="I20" s="67">
        <f t="shared" si="3"/>
        <v>38976</v>
      </c>
      <c r="J20" s="67">
        <f t="shared" si="3"/>
        <v>38980</v>
      </c>
      <c r="K20" s="67">
        <f t="shared" si="3"/>
        <v>38983</v>
      </c>
      <c r="L20" s="67">
        <f t="shared" si="3"/>
        <v>38987</v>
      </c>
      <c r="M20" s="67">
        <f t="shared" si="3"/>
        <v>38990</v>
      </c>
      <c r="N20" s="67">
        <f t="shared" si="3"/>
        <v>38994</v>
      </c>
      <c r="O20" s="67">
        <f t="shared" si="3"/>
        <v>38997</v>
      </c>
      <c r="P20" s="67">
        <f t="shared" si="3"/>
        <v>39001</v>
      </c>
      <c r="Q20" s="67">
        <f t="shared" si="3"/>
        <v>39004</v>
      </c>
      <c r="R20" s="67">
        <f t="shared" si="3"/>
        <v>39008</v>
      </c>
      <c r="S20" s="67">
        <f t="shared" si="3"/>
        <v>39011</v>
      </c>
      <c r="T20" s="106">
        <f>T8</f>
        <v>39015</v>
      </c>
      <c r="U20" s="110"/>
    </row>
    <row r="21" spans="4:21" ht="15.75" thickBot="1">
      <c r="D21" s="92">
        <f>'Классный журнал'!D193</f>
        <v>5</v>
      </c>
      <c r="E21" s="93" t="str">
        <f>'Классный журнал'!E13</f>
        <v>Бузгин Иван</v>
      </c>
      <c r="F21" s="98">
        <f>'Классный журнал'!F13</f>
        <v>0</v>
      </c>
      <c r="G21" s="98">
        <f>'Классный журнал'!G13</f>
        <v>0</v>
      </c>
      <c r="H21" s="98">
        <f>'Классный журнал'!H13</f>
        <v>3</v>
      </c>
      <c r="I21" s="98">
        <f>'Классный журнал'!I13</f>
        <v>3</v>
      </c>
      <c r="J21" s="98">
        <f>'Классный журнал'!J13</f>
        <v>0</v>
      </c>
      <c r="K21" s="98">
        <f>'Классный журнал'!K13</f>
        <v>3</v>
      </c>
      <c r="L21" s="98">
        <f>'Классный журнал'!L13</f>
        <v>0</v>
      </c>
      <c r="M21" s="98">
        <f>'Классный журнал'!M13</f>
        <v>3</v>
      </c>
      <c r="N21" s="98">
        <f>'Классный журнал'!N13</f>
        <v>3</v>
      </c>
      <c r="O21" s="98">
        <f>'Классный журнал'!O13</f>
        <v>0</v>
      </c>
      <c r="P21" s="98">
        <f>'Классный журнал'!P13</f>
        <v>0</v>
      </c>
      <c r="Q21" s="98">
        <f>'Классный журнал'!Q13</f>
        <v>3</v>
      </c>
      <c r="R21" s="98">
        <f>'Классный журнал'!R13</f>
        <v>0</v>
      </c>
      <c r="S21" s="98">
        <f>'Классный журнал'!S13</f>
        <v>3</v>
      </c>
      <c r="T21" s="107">
        <f>'Классный журнал'!T13</f>
        <v>0</v>
      </c>
      <c r="U21" s="110"/>
    </row>
    <row r="22" spans="4:21" ht="15.75" thickTop="1">
      <c r="D22" s="99"/>
      <c r="E22" s="104">
        <f>E7</f>
        <v>39252.58940462963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108"/>
      <c r="U22" s="110"/>
    </row>
    <row r="23" spans="4:21" ht="15">
      <c r="D23" s="100"/>
      <c r="E23" s="97" t="str">
        <f>E20</f>
        <v>ФИЗИКА</v>
      </c>
      <c r="F23" s="67">
        <f>F8</f>
        <v>38966</v>
      </c>
      <c r="G23" s="67">
        <f>G8</f>
        <v>38969</v>
      </c>
      <c r="H23" s="67">
        <f aca="true" t="shared" si="4" ref="H23:T23">H8</f>
        <v>38973</v>
      </c>
      <c r="I23" s="67">
        <f t="shared" si="4"/>
        <v>38976</v>
      </c>
      <c r="J23" s="67">
        <f t="shared" si="4"/>
        <v>38980</v>
      </c>
      <c r="K23" s="67">
        <f t="shared" si="4"/>
        <v>38983</v>
      </c>
      <c r="L23" s="67">
        <f t="shared" si="4"/>
        <v>38987</v>
      </c>
      <c r="M23" s="67">
        <f t="shared" si="4"/>
        <v>38990</v>
      </c>
      <c r="N23" s="67">
        <f t="shared" si="4"/>
        <v>38994</v>
      </c>
      <c r="O23" s="67">
        <f t="shared" si="4"/>
        <v>38997</v>
      </c>
      <c r="P23" s="67">
        <f t="shared" si="4"/>
        <v>39001</v>
      </c>
      <c r="Q23" s="67">
        <f t="shared" si="4"/>
        <v>39004</v>
      </c>
      <c r="R23" s="67">
        <f t="shared" si="4"/>
        <v>39008</v>
      </c>
      <c r="S23" s="67">
        <f t="shared" si="4"/>
        <v>39011</v>
      </c>
      <c r="T23" s="106">
        <f t="shared" si="4"/>
        <v>39015</v>
      </c>
      <c r="U23" s="110"/>
    </row>
    <row r="24" spans="4:21" ht="15.75" thickBot="1">
      <c r="D24" s="92">
        <f>'Классный журнал'!D194</f>
        <v>6</v>
      </c>
      <c r="E24" s="93" t="str">
        <f>'Классный журнал'!E14</f>
        <v>Валеев Руслан</v>
      </c>
      <c r="F24" s="98">
        <f>'Классный журнал'!F14</f>
        <v>0</v>
      </c>
      <c r="G24" s="98">
        <f>'Классный журнал'!G14</f>
        <v>4</v>
      </c>
      <c r="H24" s="98">
        <f>'Классный журнал'!H14</f>
        <v>5</v>
      </c>
      <c r="I24" s="98">
        <f>'Классный журнал'!I14</f>
        <v>0</v>
      </c>
      <c r="J24" s="98">
        <f>'Классный журнал'!J14</f>
        <v>3</v>
      </c>
      <c r="K24" s="98" t="str">
        <f>'Классный журнал'!K14</f>
        <v>н</v>
      </c>
      <c r="L24" s="98" t="str">
        <f>'Классный журнал'!L14</f>
        <v>н</v>
      </c>
      <c r="M24" s="98" t="str">
        <f>'Классный журнал'!M14</f>
        <v>н</v>
      </c>
      <c r="N24" s="98">
        <f>'Классный журнал'!N14</f>
        <v>3</v>
      </c>
      <c r="O24" s="98">
        <f>'Классный журнал'!O14</f>
        <v>0</v>
      </c>
      <c r="P24" s="98">
        <f>'Классный журнал'!P14</f>
        <v>4</v>
      </c>
      <c r="Q24" s="98">
        <f>'Классный журнал'!Q14</f>
        <v>3</v>
      </c>
      <c r="R24" s="98">
        <f>'Классный журнал'!R14</f>
        <v>1</v>
      </c>
      <c r="S24" s="98">
        <f>'Классный журнал'!S14</f>
        <v>0</v>
      </c>
      <c r="T24" s="107">
        <f>'Классный журнал'!T14</f>
        <v>3</v>
      </c>
      <c r="U24" s="110"/>
    </row>
    <row r="25" spans="4:21" ht="15.75" thickTop="1">
      <c r="D25" s="99"/>
      <c r="E25" s="104">
        <f>E7</f>
        <v>39252.58940462963</v>
      </c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108"/>
      <c r="U25" s="110"/>
    </row>
    <row r="26" spans="4:21" ht="15">
      <c r="D26" s="100"/>
      <c r="E26" s="97" t="str">
        <f aca="true" t="shared" si="5" ref="E26:T26">E8</f>
        <v>ФИЗИКА</v>
      </c>
      <c r="F26" s="67">
        <f t="shared" si="5"/>
        <v>38966</v>
      </c>
      <c r="G26" s="67">
        <f t="shared" si="5"/>
        <v>38969</v>
      </c>
      <c r="H26" s="67">
        <f t="shared" si="5"/>
        <v>38973</v>
      </c>
      <c r="I26" s="67">
        <f t="shared" si="5"/>
        <v>38976</v>
      </c>
      <c r="J26" s="67">
        <f t="shared" si="5"/>
        <v>38980</v>
      </c>
      <c r="K26" s="67">
        <f t="shared" si="5"/>
        <v>38983</v>
      </c>
      <c r="L26" s="67">
        <f t="shared" si="5"/>
        <v>38987</v>
      </c>
      <c r="M26" s="67">
        <f t="shared" si="5"/>
        <v>38990</v>
      </c>
      <c r="N26" s="67">
        <f t="shared" si="5"/>
        <v>38994</v>
      </c>
      <c r="O26" s="67">
        <f t="shared" si="5"/>
        <v>38997</v>
      </c>
      <c r="P26" s="67">
        <f t="shared" si="5"/>
        <v>39001</v>
      </c>
      <c r="Q26" s="67">
        <f t="shared" si="5"/>
        <v>39004</v>
      </c>
      <c r="R26" s="67">
        <f t="shared" si="5"/>
        <v>39008</v>
      </c>
      <c r="S26" s="67">
        <f t="shared" si="5"/>
        <v>39011</v>
      </c>
      <c r="T26" s="106">
        <f t="shared" si="5"/>
        <v>39015</v>
      </c>
      <c r="U26" s="110"/>
    </row>
    <row r="27" spans="4:21" ht="15.75" thickBot="1">
      <c r="D27" s="92">
        <f>'Классный журнал'!D195</f>
        <v>7</v>
      </c>
      <c r="E27" s="93" t="str">
        <f>'Классный журнал'!E195</f>
        <v>Власов Владимир</v>
      </c>
      <c r="F27" s="98">
        <f>'Классный журнал'!F15</f>
        <v>0</v>
      </c>
      <c r="G27" s="98">
        <f>'Классный журнал'!G15</f>
        <v>0</v>
      </c>
      <c r="H27" s="98">
        <f>'Классный журнал'!H15</f>
        <v>2</v>
      </c>
      <c r="I27" s="98">
        <f>'Классный журнал'!I15</f>
        <v>3</v>
      </c>
      <c r="J27" s="98">
        <f>'Классный журнал'!J15</f>
        <v>0</v>
      </c>
      <c r="K27" s="98">
        <f>'Классный журнал'!K15</f>
        <v>3</v>
      </c>
      <c r="L27" s="98">
        <f>'Классный журнал'!L15</f>
        <v>0</v>
      </c>
      <c r="M27" s="98">
        <f>'Классный журнал'!M15</f>
        <v>3</v>
      </c>
      <c r="N27" s="98" t="str">
        <f>'Классный журнал'!N15</f>
        <v>н</v>
      </c>
      <c r="O27" s="98">
        <f>'Классный журнал'!O15</f>
        <v>0</v>
      </c>
      <c r="P27" s="98">
        <f>'Классный журнал'!P15</f>
        <v>1</v>
      </c>
      <c r="Q27" s="98">
        <f>'Классный журнал'!Q15</f>
        <v>0</v>
      </c>
      <c r="R27" s="98">
        <f>'Классный журнал'!R15</f>
        <v>3</v>
      </c>
      <c r="S27" s="98">
        <f>'Классный журнал'!S15</f>
        <v>0</v>
      </c>
      <c r="T27" s="107">
        <f>'Классный журнал'!T15</f>
        <v>0</v>
      </c>
      <c r="U27" s="110"/>
    </row>
    <row r="28" spans="4:21" ht="15.75" thickTop="1">
      <c r="D28" s="99"/>
      <c r="E28" s="104">
        <f>$E$7</f>
        <v>39252.58940462963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108"/>
      <c r="U28" s="110"/>
    </row>
    <row r="29" spans="4:21" ht="15">
      <c r="D29" s="100"/>
      <c r="E29" s="97" t="str">
        <f aca="true" t="shared" si="6" ref="E29:T29">E8</f>
        <v>ФИЗИКА</v>
      </c>
      <c r="F29" s="67">
        <f t="shared" si="6"/>
        <v>38966</v>
      </c>
      <c r="G29" s="67">
        <f t="shared" si="6"/>
        <v>38969</v>
      </c>
      <c r="H29" s="67">
        <f t="shared" si="6"/>
        <v>38973</v>
      </c>
      <c r="I29" s="67">
        <f t="shared" si="6"/>
        <v>38976</v>
      </c>
      <c r="J29" s="67">
        <f t="shared" si="6"/>
        <v>38980</v>
      </c>
      <c r="K29" s="67">
        <f t="shared" si="6"/>
        <v>38983</v>
      </c>
      <c r="L29" s="67">
        <f t="shared" si="6"/>
        <v>38987</v>
      </c>
      <c r="M29" s="67">
        <f t="shared" si="6"/>
        <v>38990</v>
      </c>
      <c r="N29" s="67">
        <f t="shared" si="6"/>
        <v>38994</v>
      </c>
      <c r="O29" s="67">
        <f t="shared" si="6"/>
        <v>38997</v>
      </c>
      <c r="P29" s="67">
        <f t="shared" si="6"/>
        <v>39001</v>
      </c>
      <c r="Q29" s="67">
        <f t="shared" si="6"/>
        <v>39004</v>
      </c>
      <c r="R29" s="67">
        <f t="shared" si="6"/>
        <v>39008</v>
      </c>
      <c r="S29" s="67">
        <f t="shared" si="6"/>
        <v>39011</v>
      </c>
      <c r="T29" s="106">
        <f t="shared" si="6"/>
        <v>39015</v>
      </c>
      <c r="U29" s="110"/>
    </row>
    <row r="30" spans="4:26" ht="15.75" thickBot="1">
      <c r="D30" s="92">
        <f>'Классный журнал'!D196</f>
        <v>8</v>
      </c>
      <c r="E30" s="93" t="str">
        <f>'Классный журнал'!E196</f>
        <v>Головина Дарья</v>
      </c>
      <c r="F30" s="98">
        <f>'Классный журнал'!F16</f>
        <v>0</v>
      </c>
      <c r="G30" s="98">
        <f>'Классный журнал'!G16</f>
        <v>5</v>
      </c>
      <c r="H30" s="98">
        <f>'Классный журнал'!H16</f>
        <v>0</v>
      </c>
      <c r="I30" s="98">
        <f>'Классный журнал'!I16</f>
        <v>0</v>
      </c>
      <c r="J30" s="98">
        <f>'Классный журнал'!J16</f>
        <v>4</v>
      </c>
      <c r="K30" s="98">
        <f>'Классный журнал'!K16</f>
        <v>0</v>
      </c>
      <c r="L30" s="98">
        <f>'Классный журнал'!L16</f>
        <v>0</v>
      </c>
      <c r="M30" s="98">
        <f>'Классный журнал'!M16</f>
        <v>3</v>
      </c>
      <c r="N30" s="98">
        <f>'Классный журнал'!N16</f>
        <v>4</v>
      </c>
      <c r="O30" s="98">
        <f>'Классный журнал'!O16</f>
        <v>0</v>
      </c>
      <c r="P30" s="98">
        <f>'Классный журнал'!P16</f>
        <v>5</v>
      </c>
      <c r="Q30" s="98">
        <f>'Классный журнал'!Q16</f>
        <v>0</v>
      </c>
      <c r="R30" s="98">
        <f>'Классный журнал'!R16</f>
        <v>0</v>
      </c>
      <c r="S30" s="98">
        <f>'Классный журнал'!S16</f>
        <v>4</v>
      </c>
      <c r="T30" s="107">
        <f>'Классный журнал'!T16</f>
        <v>0</v>
      </c>
      <c r="U30" s="110"/>
      <c r="Z30" s="85"/>
    </row>
    <row r="31" spans="4:21" ht="15.75" thickTop="1">
      <c r="D31" s="99"/>
      <c r="E31" s="104">
        <f>$E$7</f>
        <v>39252.58940462963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108"/>
      <c r="U31" s="110"/>
    </row>
    <row r="32" spans="4:21" ht="15">
      <c r="D32" s="100"/>
      <c r="E32" s="97" t="str">
        <f aca="true" t="shared" si="7" ref="E32:T32">E8</f>
        <v>ФИЗИКА</v>
      </c>
      <c r="F32" s="67">
        <f t="shared" si="7"/>
        <v>38966</v>
      </c>
      <c r="G32" s="67">
        <f t="shared" si="7"/>
        <v>38969</v>
      </c>
      <c r="H32" s="67">
        <f t="shared" si="7"/>
        <v>38973</v>
      </c>
      <c r="I32" s="67">
        <f t="shared" si="7"/>
        <v>38976</v>
      </c>
      <c r="J32" s="67">
        <f t="shared" si="7"/>
        <v>38980</v>
      </c>
      <c r="K32" s="67">
        <f t="shared" si="7"/>
        <v>38983</v>
      </c>
      <c r="L32" s="67">
        <f t="shared" si="7"/>
        <v>38987</v>
      </c>
      <c r="M32" s="67">
        <f t="shared" si="7"/>
        <v>38990</v>
      </c>
      <c r="N32" s="67">
        <f t="shared" si="7"/>
        <v>38994</v>
      </c>
      <c r="O32" s="67">
        <f t="shared" si="7"/>
        <v>38997</v>
      </c>
      <c r="P32" s="67">
        <f t="shared" si="7"/>
        <v>39001</v>
      </c>
      <c r="Q32" s="67">
        <f t="shared" si="7"/>
        <v>39004</v>
      </c>
      <c r="R32" s="67">
        <f t="shared" si="7"/>
        <v>39008</v>
      </c>
      <c r="S32" s="67">
        <f t="shared" si="7"/>
        <v>39011</v>
      </c>
      <c r="T32" s="106">
        <f t="shared" si="7"/>
        <v>39015</v>
      </c>
      <c r="U32" s="110"/>
    </row>
    <row r="33" spans="4:21" ht="15.75" thickBot="1">
      <c r="D33" s="92">
        <f>'Классный журнал'!D197</f>
        <v>9</v>
      </c>
      <c r="E33" s="93" t="str">
        <f>'Классный журнал'!E197</f>
        <v>Грачёв Михаил</v>
      </c>
      <c r="F33" s="98" t="str">
        <f>'Классный журнал'!F17</f>
        <v>н/у</v>
      </c>
      <c r="G33" s="98">
        <f>'Классный журнал'!G17</f>
        <v>0</v>
      </c>
      <c r="H33" s="98">
        <f>'Классный журнал'!H17</f>
        <v>3</v>
      </c>
      <c r="I33" s="98">
        <f>'Классный журнал'!I17</f>
        <v>0</v>
      </c>
      <c r="J33" s="98">
        <f>'Классный журнал'!J17</f>
        <v>4</v>
      </c>
      <c r="K33" s="98">
        <f>'Классный журнал'!K17</f>
        <v>0</v>
      </c>
      <c r="L33" s="98">
        <f>'Классный журнал'!L17</f>
        <v>2</v>
      </c>
      <c r="M33" s="98">
        <f>'Классный журнал'!M17</f>
        <v>0</v>
      </c>
      <c r="N33" s="98">
        <f>'Классный журнал'!N17</f>
        <v>2</v>
      </c>
      <c r="O33" s="98">
        <f>'Классный журнал'!O17</f>
        <v>0</v>
      </c>
      <c r="P33" s="98">
        <f>'Классный журнал'!P17</f>
        <v>3</v>
      </c>
      <c r="Q33" s="98">
        <f>'Классный журнал'!Q17</f>
        <v>3</v>
      </c>
      <c r="R33" s="98">
        <f>'Классный журнал'!R17</f>
        <v>0</v>
      </c>
      <c r="S33" s="98">
        <f>'Классный журнал'!S17</f>
        <v>0</v>
      </c>
      <c r="T33" s="107">
        <f>'Классный журнал'!T17</f>
        <v>0</v>
      </c>
      <c r="U33" s="110"/>
    </row>
    <row r="34" spans="4:21" ht="15.75" thickTop="1">
      <c r="D34" s="99"/>
      <c r="E34" s="104">
        <f>$E$7</f>
        <v>39252.58940462963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108"/>
      <c r="U34" s="110"/>
    </row>
    <row r="35" spans="4:21" ht="15">
      <c r="D35" s="100"/>
      <c r="E35" s="97" t="str">
        <f aca="true" t="shared" si="8" ref="E35:T35">E8</f>
        <v>ФИЗИКА</v>
      </c>
      <c r="F35" s="67">
        <f t="shared" si="8"/>
        <v>38966</v>
      </c>
      <c r="G35" s="67">
        <f t="shared" si="8"/>
        <v>38969</v>
      </c>
      <c r="H35" s="67">
        <f t="shared" si="8"/>
        <v>38973</v>
      </c>
      <c r="I35" s="67">
        <f t="shared" si="8"/>
        <v>38976</v>
      </c>
      <c r="J35" s="67">
        <f t="shared" si="8"/>
        <v>38980</v>
      </c>
      <c r="K35" s="67">
        <f t="shared" si="8"/>
        <v>38983</v>
      </c>
      <c r="L35" s="67">
        <f t="shared" si="8"/>
        <v>38987</v>
      </c>
      <c r="M35" s="67">
        <f t="shared" si="8"/>
        <v>38990</v>
      </c>
      <c r="N35" s="67">
        <f t="shared" si="8"/>
        <v>38994</v>
      </c>
      <c r="O35" s="67">
        <f t="shared" si="8"/>
        <v>38997</v>
      </c>
      <c r="P35" s="67">
        <f t="shared" si="8"/>
        <v>39001</v>
      </c>
      <c r="Q35" s="67">
        <f t="shared" si="8"/>
        <v>39004</v>
      </c>
      <c r="R35" s="67">
        <f t="shared" si="8"/>
        <v>39008</v>
      </c>
      <c r="S35" s="67">
        <f t="shared" si="8"/>
        <v>39011</v>
      </c>
      <c r="T35" s="106">
        <f t="shared" si="8"/>
        <v>39015</v>
      </c>
      <c r="U35" s="110"/>
    </row>
    <row r="36" spans="4:21" ht="15.75" thickBot="1">
      <c r="D36" s="92">
        <f>'Классный журнал'!D198</f>
        <v>10</v>
      </c>
      <c r="E36" s="93" t="str">
        <f>'Классный журнал'!E198</f>
        <v>Добрынин Павел</v>
      </c>
      <c r="F36" s="98">
        <f>'Классный журнал'!F18</f>
        <v>4</v>
      </c>
      <c r="G36" s="98">
        <f>'Классный журнал'!G18</f>
        <v>0</v>
      </c>
      <c r="H36" s="98">
        <f>'Классный журнал'!H18</f>
        <v>0</v>
      </c>
      <c r="I36" s="98">
        <f>'Классный журнал'!I18</f>
        <v>4</v>
      </c>
      <c r="J36" s="98">
        <f>'Классный журнал'!J18</f>
        <v>0</v>
      </c>
      <c r="K36" s="98">
        <f>'Классный журнал'!K18</f>
        <v>4</v>
      </c>
      <c r="L36" s="98">
        <f>'Классный журнал'!L18</f>
        <v>0</v>
      </c>
      <c r="M36" s="98">
        <f>'Классный журнал'!M18</f>
        <v>3</v>
      </c>
      <c r="N36" s="98">
        <f>'Классный журнал'!N18</f>
        <v>3</v>
      </c>
      <c r="O36" s="98">
        <f>'Классный журнал'!O18</f>
        <v>5</v>
      </c>
      <c r="P36" s="98">
        <f>'Классный журнал'!P18</f>
        <v>4</v>
      </c>
      <c r="Q36" s="98">
        <f>'Классный журнал'!Q18</f>
        <v>0</v>
      </c>
      <c r="R36" s="98">
        <f>'Классный журнал'!R18</f>
        <v>0</v>
      </c>
      <c r="S36" s="98">
        <f>'Классный журнал'!S18</f>
        <v>3</v>
      </c>
      <c r="T36" s="107">
        <f>'Классный журнал'!T18</f>
        <v>0</v>
      </c>
      <c r="U36" s="110"/>
    </row>
    <row r="37" spans="4:21" ht="15.75" thickTop="1">
      <c r="D37" s="99"/>
      <c r="E37" s="104">
        <f>$E$7</f>
        <v>39252.58940462963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108"/>
      <c r="U37" s="110"/>
    </row>
    <row r="38" spans="4:21" ht="15">
      <c r="D38" s="100"/>
      <c r="E38" s="97" t="str">
        <f aca="true" t="shared" si="9" ref="E38:T38">E8</f>
        <v>ФИЗИКА</v>
      </c>
      <c r="F38" s="67">
        <f t="shared" si="9"/>
        <v>38966</v>
      </c>
      <c r="G38" s="67">
        <f t="shared" si="9"/>
        <v>38969</v>
      </c>
      <c r="H38" s="67">
        <f t="shared" si="9"/>
        <v>38973</v>
      </c>
      <c r="I38" s="67">
        <f t="shared" si="9"/>
        <v>38976</v>
      </c>
      <c r="J38" s="67">
        <f t="shared" si="9"/>
        <v>38980</v>
      </c>
      <c r="K38" s="67">
        <f t="shared" si="9"/>
        <v>38983</v>
      </c>
      <c r="L38" s="67">
        <f t="shared" si="9"/>
        <v>38987</v>
      </c>
      <c r="M38" s="67">
        <f t="shared" si="9"/>
        <v>38990</v>
      </c>
      <c r="N38" s="67">
        <f t="shared" si="9"/>
        <v>38994</v>
      </c>
      <c r="O38" s="67">
        <f t="shared" si="9"/>
        <v>38997</v>
      </c>
      <c r="P38" s="67">
        <f t="shared" si="9"/>
        <v>39001</v>
      </c>
      <c r="Q38" s="67">
        <f t="shared" si="9"/>
        <v>39004</v>
      </c>
      <c r="R38" s="67">
        <f t="shared" si="9"/>
        <v>39008</v>
      </c>
      <c r="S38" s="67">
        <f t="shared" si="9"/>
        <v>39011</v>
      </c>
      <c r="T38" s="106">
        <f t="shared" si="9"/>
        <v>39015</v>
      </c>
      <c r="U38" s="110"/>
    </row>
    <row r="39" spans="4:21" ht="15.75" thickBot="1">
      <c r="D39" s="92">
        <f>'Классный журнал'!D199</f>
        <v>11</v>
      </c>
      <c r="E39" s="93" t="str">
        <f>'Классный журнал'!E199</f>
        <v>Жарков Егор</v>
      </c>
      <c r="F39" s="98">
        <f>'Классный журнал'!F19</f>
        <v>0</v>
      </c>
      <c r="G39" s="98">
        <f>'Классный журнал'!G19</f>
        <v>3</v>
      </c>
      <c r="H39" s="98">
        <f>'Классный журнал'!H19</f>
        <v>0</v>
      </c>
      <c r="I39" s="98">
        <f>'Классный журнал'!I19</f>
        <v>4</v>
      </c>
      <c r="J39" s="98">
        <f>'Классный журнал'!J19</f>
        <v>0</v>
      </c>
      <c r="K39" s="98">
        <f>'Классный журнал'!K19</f>
        <v>4</v>
      </c>
      <c r="L39" s="98">
        <f>'Классный журнал'!L19</f>
        <v>0</v>
      </c>
      <c r="M39" s="98">
        <f>'Классный журнал'!M19</f>
        <v>3</v>
      </c>
      <c r="N39" s="98">
        <f>'Классный журнал'!N19</f>
        <v>3</v>
      </c>
      <c r="O39" s="98">
        <f>'Классный журнал'!O19</f>
        <v>4</v>
      </c>
      <c r="P39" s="98">
        <f>'Классный журнал'!P19</f>
        <v>3</v>
      </c>
      <c r="Q39" s="98">
        <f>'Классный журнал'!Q19</f>
        <v>0</v>
      </c>
      <c r="R39" s="98">
        <f>'Классный журнал'!R19</f>
        <v>0</v>
      </c>
      <c r="S39" s="98">
        <f>'Классный журнал'!S19</f>
        <v>0</v>
      </c>
      <c r="T39" s="107">
        <f>'Классный журнал'!T19</f>
        <v>0</v>
      </c>
      <c r="U39" s="110"/>
    </row>
    <row r="40" spans="4:21" ht="15.75" thickTop="1">
      <c r="D40" s="99"/>
      <c r="E40" s="104">
        <f>$E$7</f>
        <v>39252.58940462963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108"/>
      <c r="U40" s="110"/>
    </row>
    <row r="41" spans="4:21" ht="15">
      <c r="D41" s="100"/>
      <c r="E41" s="97" t="str">
        <f aca="true" t="shared" si="10" ref="E41:T41">E8</f>
        <v>ФИЗИКА</v>
      </c>
      <c r="F41" s="67">
        <f t="shared" si="10"/>
        <v>38966</v>
      </c>
      <c r="G41" s="67">
        <f t="shared" si="10"/>
        <v>38969</v>
      </c>
      <c r="H41" s="67">
        <f t="shared" si="10"/>
        <v>38973</v>
      </c>
      <c r="I41" s="67">
        <f t="shared" si="10"/>
        <v>38976</v>
      </c>
      <c r="J41" s="67">
        <f t="shared" si="10"/>
        <v>38980</v>
      </c>
      <c r="K41" s="67">
        <f t="shared" si="10"/>
        <v>38983</v>
      </c>
      <c r="L41" s="67">
        <f t="shared" si="10"/>
        <v>38987</v>
      </c>
      <c r="M41" s="67">
        <f t="shared" si="10"/>
        <v>38990</v>
      </c>
      <c r="N41" s="67">
        <f t="shared" si="10"/>
        <v>38994</v>
      </c>
      <c r="O41" s="67">
        <f t="shared" si="10"/>
        <v>38997</v>
      </c>
      <c r="P41" s="67">
        <f t="shared" si="10"/>
        <v>39001</v>
      </c>
      <c r="Q41" s="67">
        <f t="shared" si="10"/>
        <v>39004</v>
      </c>
      <c r="R41" s="67">
        <f t="shared" si="10"/>
        <v>39008</v>
      </c>
      <c r="S41" s="67">
        <f t="shared" si="10"/>
        <v>39011</v>
      </c>
      <c r="T41" s="106">
        <f t="shared" si="10"/>
        <v>39015</v>
      </c>
      <c r="U41" s="110"/>
    </row>
    <row r="42" spans="4:21" ht="15.75" thickBot="1">
      <c r="D42" s="92">
        <f>'Классный журнал'!D200</f>
        <v>12</v>
      </c>
      <c r="E42" s="93" t="str">
        <f>'Классный журнал'!E200</f>
        <v>Заева Владлена</v>
      </c>
      <c r="F42" s="98">
        <f>'Классный журнал'!F20</f>
        <v>0</v>
      </c>
      <c r="G42" s="98">
        <f>'Классный журнал'!G20</f>
        <v>4</v>
      </c>
      <c r="H42" s="98">
        <f>'Классный журнал'!H20</f>
        <v>5</v>
      </c>
      <c r="I42" s="98">
        <f>'Классный журнал'!I20</f>
        <v>0</v>
      </c>
      <c r="J42" s="98">
        <f>'Классный журнал'!J20</f>
        <v>3</v>
      </c>
      <c r="K42" s="98">
        <f>'Классный журнал'!K20</f>
        <v>0</v>
      </c>
      <c r="L42" s="98">
        <f>'Классный журнал'!L20</f>
        <v>3</v>
      </c>
      <c r="M42" s="98">
        <f>'Классный журнал'!M20</f>
        <v>0</v>
      </c>
      <c r="N42" s="98">
        <f>'Классный журнал'!N20</f>
        <v>5</v>
      </c>
      <c r="O42" s="98">
        <f>'Классный журнал'!O20</f>
        <v>0</v>
      </c>
      <c r="P42" s="98">
        <f>'Классный журнал'!P20</f>
        <v>2</v>
      </c>
      <c r="Q42" s="98">
        <f>'Классный журнал'!Q20</f>
        <v>0</v>
      </c>
      <c r="R42" s="98">
        <f>'Классный журнал'!R20</f>
        <v>4</v>
      </c>
      <c r="S42" s="98">
        <f>'Классный журнал'!S20</f>
        <v>0</v>
      </c>
      <c r="T42" s="107">
        <f>'Классный журнал'!T20</f>
        <v>0</v>
      </c>
      <c r="U42" s="110"/>
    </row>
    <row r="43" spans="4:21" ht="15.75" thickTop="1">
      <c r="D43" s="99"/>
      <c r="E43" s="104">
        <f>$E$7</f>
        <v>39252.58940462963</v>
      </c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108"/>
      <c r="U43" s="110"/>
    </row>
    <row r="44" spans="4:21" ht="15">
      <c r="D44" s="100"/>
      <c r="E44" s="97" t="str">
        <f aca="true" t="shared" si="11" ref="E44:T44">E8</f>
        <v>ФИЗИКА</v>
      </c>
      <c r="F44" s="67">
        <f t="shared" si="11"/>
        <v>38966</v>
      </c>
      <c r="G44" s="67">
        <f t="shared" si="11"/>
        <v>38969</v>
      </c>
      <c r="H44" s="67">
        <f t="shared" si="11"/>
        <v>38973</v>
      </c>
      <c r="I44" s="67">
        <f t="shared" si="11"/>
        <v>38976</v>
      </c>
      <c r="J44" s="67">
        <f t="shared" si="11"/>
        <v>38980</v>
      </c>
      <c r="K44" s="67">
        <f t="shared" si="11"/>
        <v>38983</v>
      </c>
      <c r="L44" s="67">
        <f t="shared" si="11"/>
        <v>38987</v>
      </c>
      <c r="M44" s="67">
        <f t="shared" si="11"/>
        <v>38990</v>
      </c>
      <c r="N44" s="67">
        <f t="shared" si="11"/>
        <v>38994</v>
      </c>
      <c r="O44" s="67">
        <f t="shared" si="11"/>
        <v>38997</v>
      </c>
      <c r="P44" s="67">
        <f t="shared" si="11"/>
        <v>39001</v>
      </c>
      <c r="Q44" s="67">
        <f t="shared" si="11"/>
        <v>39004</v>
      </c>
      <c r="R44" s="67">
        <f t="shared" si="11"/>
        <v>39008</v>
      </c>
      <c r="S44" s="67">
        <f t="shared" si="11"/>
        <v>39011</v>
      </c>
      <c r="T44" s="106">
        <f t="shared" si="11"/>
        <v>39015</v>
      </c>
      <c r="U44" s="110"/>
    </row>
    <row r="45" spans="4:21" ht="15.75" thickBot="1">
      <c r="D45" s="92">
        <f>'Классный журнал'!D201</f>
        <v>13</v>
      </c>
      <c r="E45" s="93" t="str">
        <f>'Классный журнал'!E201</f>
        <v>Игошева Анастасия</v>
      </c>
      <c r="F45" s="98" t="str">
        <f>'Классный журнал'!F21</f>
        <v>н</v>
      </c>
      <c r="G45" s="98" t="str">
        <f>'Классный журнал'!G21</f>
        <v>н</v>
      </c>
      <c r="H45" s="98" t="str">
        <f>'Классный журнал'!H21</f>
        <v>н</v>
      </c>
      <c r="I45" s="98">
        <f>'Классный журнал'!I21</f>
        <v>3</v>
      </c>
      <c r="J45" s="98">
        <f>'Классный журнал'!J21</f>
        <v>3</v>
      </c>
      <c r="K45" s="98" t="str">
        <f>'Классный журнал'!K21</f>
        <v>н/б</v>
      </c>
      <c r="L45" s="98" t="str">
        <f>'Классный журнал'!L21</f>
        <v>н/б</v>
      </c>
      <c r="M45" s="98" t="str">
        <f>'Классный журнал'!M21</f>
        <v>н/б</v>
      </c>
      <c r="N45" s="98" t="str">
        <f>'Классный журнал'!N21</f>
        <v>н/б</v>
      </c>
      <c r="O45" s="98">
        <f>'Классный журнал'!O21</f>
        <v>0</v>
      </c>
      <c r="P45" s="98">
        <f>'Классный журнал'!P21</f>
        <v>2</v>
      </c>
      <c r="Q45" s="98">
        <f>'Классный журнал'!Q21</f>
        <v>4</v>
      </c>
      <c r="R45" s="98">
        <f>'Классный журнал'!R21</f>
        <v>0</v>
      </c>
      <c r="S45" s="98">
        <f>'Классный журнал'!S21</f>
        <v>0</v>
      </c>
      <c r="T45" s="107">
        <f>'Классный журнал'!T21</f>
        <v>2</v>
      </c>
      <c r="U45" s="110"/>
    </row>
    <row r="46" spans="4:21" ht="15.75" thickTop="1">
      <c r="D46" s="99"/>
      <c r="E46" s="104">
        <f>$E$7</f>
        <v>39252.58940462963</v>
      </c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108"/>
      <c r="U46" s="110"/>
    </row>
    <row r="47" spans="4:21" ht="15">
      <c r="D47" s="100"/>
      <c r="E47" s="97" t="str">
        <f aca="true" t="shared" si="12" ref="E47:T47">E8</f>
        <v>ФИЗИКА</v>
      </c>
      <c r="F47" s="67">
        <f t="shared" si="12"/>
        <v>38966</v>
      </c>
      <c r="G47" s="67">
        <f t="shared" si="12"/>
        <v>38969</v>
      </c>
      <c r="H47" s="67">
        <f t="shared" si="12"/>
        <v>38973</v>
      </c>
      <c r="I47" s="67">
        <f t="shared" si="12"/>
        <v>38976</v>
      </c>
      <c r="J47" s="67">
        <f t="shared" si="12"/>
        <v>38980</v>
      </c>
      <c r="K47" s="67">
        <f t="shared" si="12"/>
        <v>38983</v>
      </c>
      <c r="L47" s="67">
        <f t="shared" si="12"/>
        <v>38987</v>
      </c>
      <c r="M47" s="67">
        <f t="shared" si="12"/>
        <v>38990</v>
      </c>
      <c r="N47" s="67">
        <f t="shared" si="12"/>
        <v>38994</v>
      </c>
      <c r="O47" s="67">
        <f t="shared" si="12"/>
        <v>38997</v>
      </c>
      <c r="P47" s="67">
        <f t="shared" si="12"/>
        <v>39001</v>
      </c>
      <c r="Q47" s="67">
        <f t="shared" si="12"/>
        <v>39004</v>
      </c>
      <c r="R47" s="67">
        <f t="shared" si="12"/>
        <v>39008</v>
      </c>
      <c r="S47" s="67">
        <f t="shared" si="12"/>
        <v>39011</v>
      </c>
      <c r="T47" s="106">
        <f t="shared" si="12"/>
        <v>39015</v>
      </c>
      <c r="U47" s="110"/>
    </row>
    <row r="48" spans="4:21" ht="15.75" thickBot="1">
      <c r="D48" s="92">
        <f>'Классный журнал'!D202</f>
        <v>14</v>
      </c>
      <c r="E48" s="93" t="str">
        <f>'Классный журнал'!E202</f>
        <v>Казанцев Андрей</v>
      </c>
      <c r="F48" s="98">
        <f>'Классный журнал'!F22</f>
        <v>3</v>
      </c>
      <c r="G48" s="98" t="str">
        <f>'Классный журнал'!G22</f>
        <v>н</v>
      </c>
      <c r="H48" s="98" t="str">
        <f>'Классный журнал'!H22</f>
        <v>н</v>
      </c>
      <c r="I48" s="98" t="str">
        <f>'Классный журнал'!I22</f>
        <v>н</v>
      </c>
      <c r="J48" s="98">
        <f>'Классный журнал'!J22</f>
        <v>0</v>
      </c>
      <c r="K48" s="98">
        <f>'Классный журнал'!K22</f>
        <v>3</v>
      </c>
      <c r="L48" s="98">
        <f>'Классный журнал'!L22</f>
        <v>0</v>
      </c>
      <c r="M48" s="98">
        <f>'Классный журнал'!M22</f>
        <v>2</v>
      </c>
      <c r="N48" s="98">
        <f>'Классный журнал'!N22</f>
        <v>1</v>
      </c>
      <c r="O48" s="98">
        <f>'Классный журнал'!O22</f>
        <v>0</v>
      </c>
      <c r="P48" s="98">
        <f>'Классный журнал'!P22</f>
        <v>1</v>
      </c>
      <c r="Q48" s="98" t="str">
        <f>'Классный журнал'!Q22</f>
        <v>н</v>
      </c>
      <c r="R48" s="98">
        <f>'Классный журнал'!R22</f>
        <v>0</v>
      </c>
      <c r="S48" s="98">
        <f>'Классный журнал'!S22</f>
        <v>3</v>
      </c>
      <c r="T48" s="107">
        <f>'Классный журнал'!T22</f>
        <v>0</v>
      </c>
      <c r="U48" s="110"/>
    </row>
    <row r="49" spans="4:21" ht="15.75" thickTop="1">
      <c r="D49" s="99"/>
      <c r="E49" s="104">
        <f>$E$7</f>
        <v>39252.58940462963</v>
      </c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108"/>
      <c r="U49" s="110"/>
    </row>
    <row r="50" spans="4:21" ht="15">
      <c r="D50" s="100"/>
      <c r="E50" s="97" t="str">
        <f aca="true" t="shared" si="13" ref="E50:T50">E8</f>
        <v>ФИЗИКА</v>
      </c>
      <c r="F50" s="67">
        <f t="shared" si="13"/>
        <v>38966</v>
      </c>
      <c r="G50" s="67">
        <f t="shared" si="13"/>
        <v>38969</v>
      </c>
      <c r="H50" s="67">
        <f t="shared" si="13"/>
        <v>38973</v>
      </c>
      <c r="I50" s="67">
        <f t="shared" si="13"/>
        <v>38976</v>
      </c>
      <c r="J50" s="67">
        <f t="shared" si="13"/>
        <v>38980</v>
      </c>
      <c r="K50" s="67">
        <f t="shared" si="13"/>
        <v>38983</v>
      </c>
      <c r="L50" s="67">
        <f t="shared" si="13"/>
        <v>38987</v>
      </c>
      <c r="M50" s="67">
        <f t="shared" si="13"/>
        <v>38990</v>
      </c>
      <c r="N50" s="67">
        <f t="shared" si="13"/>
        <v>38994</v>
      </c>
      <c r="O50" s="67">
        <f t="shared" si="13"/>
        <v>38997</v>
      </c>
      <c r="P50" s="67">
        <f t="shared" si="13"/>
        <v>39001</v>
      </c>
      <c r="Q50" s="67">
        <f t="shared" si="13"/>
        <v>39004</v>
      </c>
      <c r="R50" s="67">
        <f t="shared" si="13"/>
        <v>39008</v>
      </c>
      <c r="S50" s="67">
        <f t="shared" si="13"/>
        <v>39011</v>
      </c>
      <c r="T50" s="106">
        <f t="shared" si="13"/>
        <v>39015</v>
      </c>
      <c r="U50" s="110"/>
    </row>
    <row r="51" spans="4:21" ht="15.75" thickBot="1">
      <c r="D51" s="92">
        <f>'Классный журнал'!D203</f>
        <v>15</v>
      </c>
      <c r="E51" s="93" t="str">
        <f>'Классный журнал'!E203</f>
        <v>Кравченко Кристина</v>
      </c>
      <c r="F51" s="98">
        <f>'Классный журнал'!F23</f>
        <v>5</v>
      </c>
      <c r="G51" s="98">
        <f>'Классный журнал'!G23</f>
        <v>0</v>
      </c>
      <c r="H51" s="98">
        <f>'Классный журнал'!H23</f>
        <v>5</v>
      </c>
      <c r="I51" s="98">
        <f>'Классный журнал'!I23</f>
        <v>5</v>
      </c>
      <c r="J51" s="98">
        <f>'Классный журнал'!J23</f>
        <v>0</v>
      </c>
      <c r="K51" s="98">
        <f>'Классный журнал'!K23</f>
        <v>5</v>
      </c>
      <c r="L51" s="98">
        <f>'Классный журнал'!L23</f>
        <v>0</v>
      </c>
      <c r="M51" s="98">
        <f>'Классный журнал'!M23</f>
        <v>0</v>
      </c>
      <c r="N51" s="98">
        <f>'Классный журнал'!N23</f>
        <v>5</v>
      </c>
      <c r="O51" s="98">
        <f>'Классный журнал'!O23</f>
        <v>4</v>
      </c>
      <c r="P51" s="98">
        <f>'Классный журнал'!P23</f>
        <v>5</v>
      </c>
      <c r="Q51" s="98">
        <f>'Классный журнал'!Q23</f>
        <v>0</v>
      </c>
      <c r="R51" s="98">
        <f>'Классный журнал'!R23</f>
        <v>0</v>
      </c>
      <c r="S51" s="98">
        <f>'Классный журнал'!S23</f>
        <v>0</v>
      </c>
      <c r="T51" s="107">
        <f>'Классный журнал'!T23</f>
        <v>0</v>
      </c>
      <c r="U51" s="110"/>
    </row>
    <row r="52" spans="4:21" ht="15.75" thickTop="1">
      <c r="D52" s="99"/>
      <c r="E52" s="104">
        <f>$E$7</f>
        <v>39252.58940462963</v>
      </c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108"/>
      <c r="U52" s="110"/>
    </row>
    <row r="53" spans="4:21" ht="15">
      <c r="D53" s="100"/>
      <c r="E53" s="97" t="str">
        <f aca="true" t="shared" si="14" ref="E53:T53">E8</f>
        <v>ФИЗИКА</v>
      </c>
      <c r="F53" s="67">
        <f t="shared" si="14"/>
        <v>38966</v>
      </c>
      <c r="G53" s="67">
        <f t="shared" si="14"/>
        <v>38969</v>
      </c>
      <c r="H53" s="67">
        <f t="shared" si="14"/>
        <v>38973</v>
      </c>
      <c r="I53" s="67">
        <f t="shared" si="14"/>
        <v>38976</v>
      </c>
      <c r="J53" s="67">
        <f t="shared" si="14"/>
        <v>38980</v>
      </c>
      <c r="K53" s="67">
        <f t="shared" si="14"/>
        <v>38983</v>
      </c>
      <c r="L53" s="67">
        <f t="shared" si="14"/>
        <v>38987</v>
      </c>
      <c r="M53" s="67">
        <f t="shared" si="14"/>
        <v>38990</v>
      </c>
      <c r="N53" s="67">
        <f t="shared" si="14"/>
        <v>38994</v>
      </c>
      <c r="O53" s="67">
        <f t="shared" si="14"/>
        <v>38997</v>
      </c>
      <c r="P53" s="67">
        <f t="shared" si="14"/>
        <v>39001</v>
      </c>
      <c r="Q53" s="67">
        <f t="shared" si="14"/>
        <v>39004</v>
      </c>
      <c r="R53" s="67">
        <f t="shared" si="14"/>
        <v>39008</v>
      </c>
      <c r="S53" s="67">
        <f t="shared" si="14"/>
        <v>39011</v>
      </c>
      <c r="T53" s="106">
        <f t="shared" si="14"/>
        <v>39015</v>
      </c>
      <c r="U53" s="110"/>
    </row>
    <row r="54" spans="4:21" ht="15.75" thickBot="1">
      <c r="D54" s="92">
        <f>'Классный журнал'!D204</f>
        <v>16</v>
      </c>
      <c r="E54" s="93" t="str">
        <f>'Классный журнал'!E204</f>
        <v>Кротков Александр</v>
      </c>
      <c r="F54" s="98">
        <f>'Классный журнал'!F24</f>
        <v>0</v>
      </c>
      <c r="G54" s="98">
        <f>'Классный журнал'!G24</f>
        <v>3</v>
      </c>
      <c r="H54" s="98">
        <f>'Классный журнал'!H24</f>
        <v>0</v>
      </c>
      <c r="I54" s="98">
        <f>'Классный журнал'!I24</f>
        <v>3</v>
      </c>
      <c r="J54" s="98">
        <f>'Классный журнал'!J24</f>
        <v>0</v>
      </c>
      <c r="K54" s="98">
        <f>'Классный журнал'!K24</f>
        <v>3</v>
      </c>
      <c r="L54" s="98" t="str">
        <f>'Классный журнал'!L24</f>
        <v>н/у</v>
      </c>
      <c r="M54" s="98" t="str">
        <f>'Классный журнал'!M24</f>
        <v>н/у</v>
      </c>
      <c r="N54" s="98">
        <f>'Классный журнал'!N24</f>
        <v>3</v>
      </c>
      <c r="O54" s="98">
        <f>'Классный журнал'!O24</f>
        <v>0</v>
      </c>
      <c r="P54" s="98">
        <f>'Классный журнал'!P24</f>
        <v>3</v>
      </c>
      <c r="Q54" s="98">
        <f>'Классный журнал'!Q24</f>
        <v>2</v>
      </c>
      <c r="R54" s="98">
        <f>'Классный журнал'!R24</f>
        <v>0</v>
      </c>
      <c r="S54" s="98">
        <f>'Классный журнал'!S24</f>
        <v>0</v>
      </c>
      <c r="T54" s="107">
        <f>'Классный журнал'!T24</f>
        <v>3</v>
      </c>
      <c r="U54" s="110"/>
    </row>
    <row r="55" spans="4:21" ht="15.75" thickTop="1">
      <c r="D55" s="99"/>
      <c r="E55" s="104">
        <f>$E$7</f>
        <v>39252.58940462963</v>
      </c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108"/>
      <c r="U55" s="110"/>
    </row>
    <row r="56" spans="4:21" ht="15">
      <c r="D56" s="100"/>
      <c r="E56" s="97" t="str">
        <f aca="true" t="shared" si="15" ref="E56:T56">E8</f>
        <v>ФИЗИКА</v>
      </c>
      <c r="F56" s="67">
        <f t="shared" si="15"/>
        <v>38966</v>
      </c>
      <c r="G56" s="67">
        <f t="shared" si="15"/>
        <v>38969</v>
      </c>
      <c r="H56" s="67">
        <f t="shared" si="15"/>
        <v>38973</v>
      </c>
      <c r="I56" s="67">
        <f t="shared" si="15"/>
        <v>38976</v>
      </c>
      <c r="J56" s="67">
        <f t="shared" si="15"/>
        <v>38980</v>
      </c>
      <c r="K56" s="67">
        <f t="shared" si="15"/>
        <v>38983</v>
      </c>
      <c r="L56" s="67">
        <f t="shared" si="15"/>
        <v>38987</v>
      </c>
      <c r="M56" s="67">
        <f t="shared" si="15"/>
        <v>38990</v>
      </c>
      <c r="N56" s="67">
        <f t="shared" si="15"/>
        <v>38994</v>
      </c>
      <c r="O56" s="67">
        <f t="shared" si="15"/>
        <v>38997</v>
      </c>
      <c r="P56" s="67">
        <f t="shared" si="15"/>
        <v>39001</v>
      </c>
      <c r="Q56" s="67">
        <f t="shared" si="15"/>
        <v>39004</v>
      </c>
      <c r="R56" s="67">
        <f t="shared" si="15"/>
        <v>39008</v>
      </c>
      <c r="S56" s="67">
        <f t="shared" si="15"/>
        <v>39011</v>
      </c>
      <c r="T56" s="106">
        <f t="shared" si="15"/>
        <v>39015</v>
      </c>
      <c r="U56" s="110"/>
    </row>
    <row r="57" spans="4:21" ht="15.75" thickBot="1">
      <c r="D57" s="92">
        <f>'Классный журнал'!D205</f>
        <v>17</v>
      </c>
      <c r="E57" s="93" t="str">
        <f>'Классный журнал'!E205</f>
        <v>Кузнецова Екатерина</v>
      </c>
      <c r="F57" s="98">
        <f>'Классный журнал'!F25</f>
        <v>0</v>
      </c>
      <c r="G57" s="98">
        <f>'Классный журнал'!G25</f>
        <v>0</v>
      </c>
      <c r="H57" s="98">
        <f>'Классный журнал'!H25</f>
        <v>5</v>
      </c>
      <c r="I57" s="98">
        <f>'Классный журнал'!I25</f>
        <v>0</v>
      </c>
      <c r="J57" s="98">
        <f>'Классный журнал'!J25</f>
        <v>4</v>
      </c>
      <c r="K57" s="98">
        <f>'Классный журнал'!K25</f>
        <v>0</v>
      </c>
      <c r="L57" s="98">
        <f>'Классный журнал'!L25</f>
        <v>4</v>
      </c>
      <c r="M57" s="98">
        <f>'Классный журнал'!M25</f>
        <v>0</v>
      </c>
      <c r="N57" s="98">
        <f>'Классный журнал'!N25</f>
        <v>3</v>
      </c>
      <c r="O57" s="98">
        <f>'Классный журнал'!O25</f>
        <v>0</v>
      </c>
      <c r="P57" s="98">
        <f>'Классный журнал'!P25</f>
        <v>4</v>
      </c>
      <c r="Q57" s="98">
        <f>'Классный журнал'!Q25</f>
        <v>0</v>
      </c>
      <c r="R57" s="98">
        <f>'Классный журнал'!R25</f>
        <v>4</v>
      </c>
      <c r="S57" s="98">
        <f>'Классный журнал'!S25</f>
        <v>0</v>
      </c>
      <c r="T57" s="107">
        <f>'Классный журнал'!T25</f>
        <v>0</v>
      </c>
      <c r="U57" s="110"/>
    </row>
    <row r="58" spans="4:21" ht="15.75" thickTop="1">
      <c r="D58" s="99"/>
      <c r="E58" s="104">
        <f>$E$7</f>
        <v>39252.58940462963</v>
      </c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108"/>
      <c r="U58" s="110"/>
    </row>
    <row r="59" spans="4:21" ht="15">
      <c r="D59" s="100"/>
      <c r="E59" s="97" t="str">
        <f aca="true" t="shared" si="16" ref="E59:T59">E8</f>
        <v>ФИЗИКА</v>
      </c>
      <c r="F59" s="67">
        <f t="shared" si="16"/>
        <v>38966</v>
      </c>
      <c r="G59" s="67">
        <f t="shared" si="16"/>
        <v>38969</v>
      </c>
      <c r="H59" s="67">
        <f t="shared" si="16"/>
        <v>38973</v>
      </c>
      <c r="I59" s="67">
        <f t="shared" si="16"/>
        <v>38976</v>
      </c>
      <c r="J59" s="67">
        <f t="shared" si="16"/>
        <v>38980</v>
      </c>
      <c r="K59" s="67">
        <f t="shared" si="16"/>
        <v>38983</v>
      </c>
      <c r="L59" s="67">
        <f t="shared" si="16"/>
        <v>38987</v>
      </c>
      <c r="M59" s="67">
        <f t="shared" si="16"/>
        <v>38990</v>
      </c>
      <c r="N59" s="67">
        <f t="shared" si="16"/>
        <v>38994</v>
      </c>
      <c r="O59" s="67">
        <f t="shared" si="16"/>
        <v>38997</v>
      </c>
      <c r="P59" s="67">
        <f t="shared" si="16"/>
        <v>39001</v>
      </c>
      <c r="Q59" s="67">
        <f t="shared" si="16"/>
        <v>39004</v>
      </c>
      <c r="R59" s="67">
        <f t="shared" si="16"/>
        <v>39008</v>
      </c>
      <c r="S59" s="67">
        <f t="shared" si="16"/>
        <v>39011</v>
      </c>
      <c r="T59" s="106">
        <f t="shared" si="16"/>
        <v>39015</v>
      </c>
      <c r="U59" s="110"/>
    </row>
    <row r="60" spans="4:21" ht="15.75" thickBot="1">
      <c r="D60" s="92">
        <f>'Классный журнал'!D206</f>
        <v>18</v>
      </c>
      <c r="E60" s="93" t="str">
        <f>'Классный журнал'!E206</f>
        <v>Курило Павел</v>
      </c>
      <c r="F60" s="98">
        <f>'Классный журнал'!F26</f>
        <v>0</v>
      </c>
      <c r="G60" s="98">
        <f>'Классный журнал'!G26</f>
        <v>2</v>
      </c>
      <c r="H60" s="98">
        <f>'Классный журнал'!H26</f>
        <v>0</v>
      </c>
      <c r="I60" s="98">
        <f>'Классный журнал'!I26</f>
        <v>2</v>
      </c>
      <c r="J60" s="98" t="str">
        <f>'Классный журнал'!J26</f>
        <v>н/б</v>
      </c>
      <c r="K60" s="98" t="str">
        <f>'Классный журнал'!K26</f>
        <v>н</v>
      </c>
      <c r="L60" s="98" t="str">
        <f>'Классный журнал'!L26</f>
        <v>н</v>
      </c>
      <c r="M60" s="98">
        <f>'Классный журнал'!M26</f>
        <v>0</v>
      </c>
      <c r="N60" s="98">
        <f>'Классный журнал'!N26</f>
        <v>3</v>
      </c>
      <c r="O60" s="98">
        <f>'Классный журнал'!O26</f>
        <v>0</v>
      </c>
      <c r="P60" s="98">
        <f>'Классный журнал'!P26</f>
        <v>2</v>
      </c>
      <c r="Q60" s="98">
        <f>'Классный журнал'!Q26</f>
        <v>3</v>
      </c>
      <c r="R60" s="98">
        <f>'Классный журнал'!R26</f>
        <v>0</v>
      </c>
      <c r="S60" s="98">
        <f>'Классный журнал'!S26</f>
        <v>0</v>
      </c>
      <c r="T60" s="107">
        <f>'Классный журнал'!T26</f>
        <v>3</v>
      </c>
      <c r="U60" s="110"/>
    </row>
    <row r="61" spans="4:21" ht="15.75" thickTop="1">
      <c r="D61" s="99"/>
      <c r="E61" s="104">
        <f>$E$7</f>
        <v>39252.58940462963</v>
      </c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108"/>
      <c r="U61" s="110"/>
    </row>
    <row r="62" spans="4:21" ht="15">
      <c r="D62" s="100"/>
      <c r="E62" s="97" t="str">
        <f aca="true" t="shared" si="17" ref="E62:T62">E8</f>
        <v>ФИЗИКА</v>
      </c>
      <c r="F62" s="67">
        <f t="shared" si="17"/>
        <v>38966</v>
      </c>
      <c r="G62" s="67">
        <f t="shared" si="17"/>
        <v>38969</v>
      </c>
      <c r="H62" s="67">
        <f t="shared" si="17"/>
        <v>38973</v>
      </c>
      <c r="I62" s="67">
        <f t="shared" si="17"/>
        <v>38976</v>
      </c>
      <c r="J62" s="67">
        <f t="shared" si="17"/>
        <v>38980</v>
      </c>
      <c r="K62" s="67">
        <f t="shared" si="17"/>
        <v>38983</v>
      </c>
      <c r="L62" s="67">
        <f t="shared" si="17"/>
        <v>38987</v>
      </c>
      <c r="M62" s="67">
        <f t="shared" si="17"/>
        <v>38990</v>
      </c>
      <c r="N62" s="67">
        <f t="shared" si="17"/>
        <v>38994</v>
      </c>
      <c r="O62" s="67">
        <f t="shared" si="17"/>
        <v>38997</v>
      </c>
      <c r="P62" s="67">
        <f t="shared" si="17"/>
        <v>39001</v>
      </c>
      <c r="Q62" s="67">
        <f t="shared" si="17"/>
        <v>39004</v>
      </c>
      <c r="R62" s="67">
        <f t="shared" si="17"/>
        <v>39008</v>
      </c>
      <c r="S62" s="67">
        <f t="shared" si="17"/>
        <v>39011</v>
      </c>
      <c r="T62" s="106">
        <f t="shared" si="17"/>
        <v>39015</v>
      </c>
      <c r="U62" s="110"/>
    </row>
    <row r="63" spans="4:21" ht="15.75" thickBot="1">
      <c r="D63" s="92">
        <f>'Классный журнал'!D207</f>
        <v>19</v>
      </c>
      <c r="E63" s="93" t="str">
        <f>'Классный журнал'!E207</f>
        <v>Максимкина Татьяна</v>
      </c>
      <c r="F63" s="98">
        <f>'Классный журнал'!F27</f>
        <v>0</v>
      </c>
      <c r="G63" s="98">
        <f>'Классный журнал'!G27</f>
        <v>2</v>
      </c>
      <c r="H63" s="98">
        <f>'Классный журнал'!H27</f>
        <v>2</v>
      </c>
      <c r="I63" s="98" t="str">
        <f>'Классный журнал'!I27</f>
        <v>н</v>
      </c>
      <c r="J63" s="98">
        <f>'Классный журнал'!J27</f>
        <v>2</v>
      </c>
      <c r="K63" s="98">
        <f>'Классный журнал'!K27</f>
        <v>0</v>
      </c>
      <c r="L63" s="98">
        <f>'Классный журнал'!L27</f>
        <v>2</v>
      </c>
      <c r="M63" s="98" t="str">
        <f>'Классный журнал'!M27</f>
        <v>н</v>
      </c>
      <c r="N63" s="98">
        <f>'Классный журнал'!N27</f>
        <v>2</v>
      </c>
      <c r="O63" s="98" t="str">
        <f>'Классный журнал'!O27</f>
        <v>н</v>
      </c>
      <c r="P63" s="98" t="str">
        <f>'Классный журнал'!P27</f>
        <v>н</v>
      </c>
      <c r="Q63" s="98" t="str">
        <f>'Классный журнал'!Q27</f>
        <v>н</v>
      </c>
      <c r="R63" s="98">
        <f>'Классный журнал'!R27</f>
        <v>0</v>
      </c>
      <c r="S63" s="98">
        <f>'Классный журнал'!S27</f>
        <v>3</v>
      </c>
      <c r="T63" s="107">
        <f>'Классный журнал'!T27</f>
        <v>0</v>
      </c>
      <c r="U63" s="110"/>
    </row>
    <row r="64" spans="4:21" ht="15.75" thickTop="1">
      <c r="D64" s="99"/>
      <c r="E64" s="104">
        <f>$E$7</f>
        <v>39252.58940462963</v>
      </c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108"/>
      <c r="U64" s="110"/>
    </row>
    <row r="65" spans="4:21" ht="15">
      <c r="D65" s="100"/>
      <c r="E65" s="97" t="str">
        <f aca="true" t="shared" si="18" ref="E65:T65">E8</f>
        <v>ФИЗИКА</v>
      </c>
      <c r="F65" s="67">
        <f t="shared" si="18"/>
        <v>38966</v>
      </c>
      <c r="G65" s="67">
        <f t="shared" si="18"/>
        <v>38969</v>
      </c>
      <c r="H65" s="67">
        <f t="shared" si="18"/>
        <v>38973</v>
      </c>
      <c r="I65" s="67">
        <f t="shared" si="18"/>
        <v>38976</v>
      </c>
      <c r="J65" s="67">
        <f t="shared" si="18"/>
        <v>38980</v>
      </c>
      <c r="K65" s="67">
        <f t="shared" si="18"/>
        <v>38983</v>
      </c>
      <c r="L65" s="67">
        <f t="shared" si="18"/>
        <v>38987</v>
      </c>
      <c r="M65" s="67">
        <f t="shared" si="18"/>
        <v>38990</v>
      </c>
      <c r="N65" s="67">
        <f t="shared" si="18"/>
        <v>38994</v>
      </c>
      <c r="O65" s="67">
        <f t="shared" si="18"/>
        <v>38997</v>
      </c>
      <c r="P65" s="67">
        <f t="shared" si="18"/>
        <v>39001</v>
      </c>
      <c r="Q65" s="67">
        <f t="shared" si="18"/>
        <v>39004</v>
      </c>
      <c r="R65" s="67">
        <f t="shared" si="18"/>
        <v>39008</v>
      </c>
      <c r="S65" s="67">
        <f t="shared" si="18"/>
        <v>39011</v>
      </c>
      <c r="T65" s="106">
        <f t="shared" si="18"/>
        <v>39015</v>
      </c>
      <c r="U65" s="110"/>
    </row>
    <row r="66" spans="4:21" ht="15.75" thickBot="1">
      <c r="D66" s="92">
        <f>'Классный журнал'!D208</f>
        <v>20</v>
      </c>
      <c r="E66" s="93" t="str">
        <f>'Классный журнал'!E208</f>
        <v>Малахова Ксения</v>
      </c>
      <c r="F66" s="98">
        <f>'Классный журнал'!F28</f>
        <v>3</v>
      </c>
      <c r="G66" s="98">
        <f>'Классный журнал'!G28</f>
        <v>0</v>
      </c>
      <c r="H66" s="98">
        <f>'Классный журнал'!H28</f>
        <v>2</v>
      </c>
      <c r="I66" s="98">
        <f>'Классный журнал'!I28</f>
        <v>0</v>
      </c>
      <c r="J66" s="98">
        <f>'Классный журнал'!J28</f>
        <v>2</v>
      </c>
      <c r="K66" s="98">
        <f>'Классный журнал'!K28</f>
        <v>0</v>
      </c>
      <c r="L66" s="98">
        <f>'Классный журнал'!L28</f>
        <v>3</v>
      </c>
      <c r="M66" s="98">
        <f>'Классный журнал'!M28</f>
        <v>0</v>
      </c>
      <c r="N66" s="98">
        <f>'Классный журнал'!N28</f>
        <v>3</v>
      </c>
      <c r="O66" s="98">
        <f>'Классный журнал'!O28</f>
        <v>3</v>
      </c>
      <c r="P66" s="98" t="str">
        <f>'Классный журнал'!P28</f>
        <v>н</v>
      </c>
      <c r="Q66" s="98" t="str">
        <f>'Классный журнал'!Q28</f>
        <v>н/б</v>
      </c>
      <c r="R66" s="98">
        <f>'Классный журнал'!R28</f>
        <v>0</v>
      </c>
      <c r="S66" s="98">
        <f>'Классный журнал'!S28</f>
        <v>0</v>
      </c>
      <c r="T66" s="107">
        <f>'Классный журнал'!T28</f>
        <v>0</v>
      </c>
      <c r="U66" s="110"/>
    </row>
    <row r="67" spans="4:21" ht="15.75" thickTop="1">
      <c r="D67" s="99"/>
      <c r="E67" s="104">
        <f>$E$7</f>
        <v>39252.58940462963</v>
      </c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108"/>
      <c r="U67" s="110"/>
    </row>
    <row r="68" spans="4:21" ht="15">
      <c r="D68" s="100"/>
      <c r="E68" s="97" t="str">
        <f aca="true" t="shared" si="19" ref="E68:T68">E8</f>
        <v>ФИЗИКА</v>
      </c>
      <c r="F68" s="67">
        <f t="shared" si="19"/>
        <v>38966</v>
      </c>
      <c r="G68" s="67">
        <f t="shared" si="19"/>
        <v>38969</v>
      </c>
      <c r="H68" s="67">
        <f t="shared" si="19"/>
        <v>38973</v>
      </c>
      <c r="I68" s="67">
        <f t="shared" si="19"/>
        <v>38976</v>
      </c>
      <c r="J68" s="67">
        <f t="shared" si="19"/>
        <v>38980</v>
      </c>
      <c r="K68" s="67">
        <f t="shared" si="19"/>
        <v>38983</v>
      </c>
      <c r="L68" s="67">
        <f t="shared" si="19"/>
        <v>38987</v>
      </c>
      <c r="M68" s="67">
        <f t="shared" si="19"/>
        <v>38990</v>
      </c>
      <c r="N68" s="67">
        <f t="shared" si="19"/>
        <v>38994</v>
      </c>
      <c r="O68" s="67">
        <f t="shared" si="19"/>
        <v>38997</v>
      </c>
      <c r="P68" s="67">
        <f t="shared" si="19"/>
        <v>39001</v>
      </c>
      <c r="Q68" s="67">
        <f t="shared" si="19"/>
        <v>39004</v>
      </c>
      <c r="R68" s="67">
        <f t="shared" si="19"/>
        <v>39008</v>
      </c>
      <c r="S68" s="67">
        <f t="shared" si="19"/>
        <v>39011</v>
      </c>
      <c r="T68" s="106">
        <f t="shared" si="19"/>
        <v>39015</v>
      </c>
      <c r="U68" s="110"/>
    </row>
    <row r="69" spans="4:21" ht="15.75" thickBot="1">
      <c r="D69" s="92">
        <f>'Классный журнал'!D209</f>
        <v>21</v>
      </c>
      <c r="E69" s="93" t="str">
        <f>'Классный журнал'!E209</f>
        <v>Марсуверских Михаил</v>
      </c>
      <c r="F69" s="98">
        <f>'Классный журнал'!F29</f>
        <v>0</v>
      </c>
      <c r="G69" s="98">
        <f>'Классный журнал'!G29</f>
        <v>3</v>
      </c>
      <c r="H69" s="98" t="str">
        <f>'Классный журнал'!H29</f>
        <v>н/б</v>
      </c>
      <c r="I69" s="98">
        <f>'Классный журнал'!I29</f>
        <v>2</v>
      </c>
      <c r="J69" s="98">
        <f>'Классный журнал'!J29</f>
        <v>0</v>
      </c>
      <c r="K69" s="98">
        <f>'Классный журнал'!K29</f>
        <v>2</v>
      </c>
      <c r="L69" s="98">
        <f>'Классный журнал'!L29</f>
        <v>0</v>
      </c>
      <c r="M69" s="98">
        <f>'Классный журнал'!M29</f>
        <v>3</v>
      </c>
      <c r="N69" s="98">
        <f>'Классный журнал'!N29</f>
        <v>1</v>
      </c>
      <c r="O69" s="98">
        <f>'Классный журнал'!O29</f>
        <v>3</v>
      </c>
      <c r="P69" s="98">
        <f>'Классный журнал'!P29</f>
        <v>2</v>
      </c>
      <c r="Q69" s="98">
        <f>'Классный журнал'!Q29</f>
        <v>0</v>
      </c>
      <c r="R69" s="98">
        <f>'Классный журнал'!R29</f>
        <v>3</v>
      </c>
      <c r="S69" s="98">
        <f>'Классный журнал'!S29</f>
        <v>0</v>
      </c>
      <c r="T69" s="107">
        <f>'Классный журнал'!T29</f>
        <v>0</v>
      </c>
      <c r="U69" s="110"/>
    </row>
    <row r="70" spans="4:21" ht="15.75" thickTop="1">
      <c r="D70" s="99"/>
      <c r="E70" s="104">
        <f>$E$7</f>
        <v>39252.58940462963</v>
      </c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108"/>
      <c r="U70" s="110"/>
    </row>
    <row r="71" spans="4:21" ht="15">
      <c r="D71" s="100"/>
      <c r="E71" s="97" t="str">
        <f aca="true" t="shared" si="20" ref="E71:T71">E8</f>
        <v>ФИЗИКА</v>
      </c>
      <c r="F71" s="67">
        <f t="shared" si="20"/>
        <v>38966</v>
      </c>
      <c r="G71" s="67">
        <f t="shared" si="20"/>
        <v>38969</v>
      </c>
      <c r="H71" s="67">
        <f t="shared" si="20"/>
        <v>38973</v>
      </c>
      <c r="I71" s="67">
        <f t="shared" si="20"/>
        <v>38976</v>
      </c>
      <c r="J71" s="67">
        <f t="shared" si="20"/>
        <v>38980</v>
      </c>
      <c r="K71" s="67">
        <f t="shared" si="20"/>
        <v>38983</v>
      </c>
      <c r="L71" s="67">
        <f t="shared" si="20"/>
        <v>38987</v>
      </c>
      <c r="M71" s="67">
        <f t="shared" si="20"/>
        <v>38990</v>
      </c>
      <c r="N71" s="67">
        <f t="shared" si="20"/>
        <v>38994</v>
      </c>
      <c r="O71" s="67">
        <f t="shared" si="20"/>
        <v>38997</v>
      </c>
      <c r="P71" s="67">
        <f t="shared" si="20"/>
        <v>39001</v>
      </c>
      <c r="Q71" s="67">
        <f t="shared" si="20"/>
        <v>39004</v>
      </c>
      <c r="R71" s="67">
        <f t="shared" si="20"/>
        <v>39008</v>
      </c>
      <c r="S71" s="67">
        <f t="shared" si="20"/>
        <v>39011</v>
      </c>
      <c r="T71" s="106">
        <f t="shared" si="20"/>
        <v>39015</v>
      </c>
      <c r="U71" s="110"/>
    </row>
    <row r="72" spans="4:21" ht="15.75" thickBot="1">
      <c r="D72" s="92">
        <f>'Классный журнал'!D210</f>
        <v>22</v>
      </c>
      <c r="E72" s="93" t="str">
        <f>'Классный журнал'!E210</f>
        <v>Никифоров Алексей</v>
      </c>
      <c r="F72" s="98">
        <f>'Классный журнал'!F30</f>
        <v>0</v>
      </c>
      <c r="G72" s="98">
        <f>'Классный журнал'!G30</f>
        <v>2</v>
      </c>
      <c r="H72" s="98">
        <f>'Классный журнал'!H30</f>
        <v>0</v>
      </c>
      <c r="I72" s="98">
        <f>'Классный журнал'!I30</f>
        <v>4</v>
      </c>
      <c r="J72" s="98">
        <f>'Классный журнал'!J30</f>
        <v>0</v>
      </c>
      <c r="K72" s="98">
        <f>'Классный журнал'!K30</f>
        <v>4</v>
      </c>
      <c r="L72" s="98">
        <f>'Классный журнал'!L30</f>
        <v>5</v>
      </c>
      <c r="M72" s="98">
        <f>'Классный журнал'!M30</f>
        <v>0</v>
      </c>
      <c r="N72" s="98">
        <f>'Классный журнал'!N30</f>
        <v>3</v>
      </c>
      <c r="O72" s="98" t="str">
        <f>'Классный журнал'!O30</f>
        <v>н/у</v>
      </c>
      <c r="P72" s="98" t="str">
        <f>'Классный журнал'!P30</f>
        <v>н/у</v>
      </c>
      <c r="Q72" s="98" t="str">
        <f>'Классный журнал'!Q30</f>
        <v>н/у</v>
      </c>
      <c r="R72" s="98">
        <f>'Классный журнал'!R30</f>
        <v>0</v>
      </c>
      <c r="S72" s="98">
        <f>'Классный журнал'!S30</f>
        <v>0</v>
      </c>
      <c r="T72" s="107">
        <f>'Классный журнал'!T30</f>
        <v>4</v>
      </c>
      <c r="U72" s="110"/>
    </row>
    <row r="73" spans="4:21" ht="15.75" thickTop="1">
      <c r="D73" s="99"/>
      <c r="E73" s="104">
        <f>$E$7</f>
        <v>39252.58940462963</v>
      </c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108"/>
      <c r="U73" s="110"/>
    </row>
    <row r="74" spans="4:21" ht="15">
      <c r="D74" s="100"/>
      <c r="E74" s="97" t="str">
        <f aca="true" t="shared" si="21" ref="E74:T74">E8</f>
        <v>ФИЗИКА</v>
      </c>
      <c r="F74" s="67">
        <f t="shared" si="21"/>
        <v>38966</v>
      </c>
      <c r="G74" s="67">
        <f t="shared" si="21"/>
        <v>38969</v>
      </c>
      <c r="H74" s="67">
        <f t="shared" si="21"/>
        <v>38973</v>
      </c>
      <c r="I74" s="67">
        <f t="shared" si="21"/>
        <v>38976</v>
      </c>
      <c r="J74" s="67">
        <f t="shared" si="21"/>
        <v>38980</v>
      </c>
      <c r="K74" s="67">
        <f t="shared" si="21"/>
        <v>38983</v>
      </c>
      <c r="L74" s="67">
        <f t="shared" si="21"/>
        <v>38987</v>
      </c>
      <c r="M74" s="67">
        <f t="shared" si="21"/>
        <v>38990</v>
      </c>
      <c r="N74" s="67">
        <f t="shared" si="21"/>
        <v>38994</v>
      </c>
      <c r="O74" s="67">
        <f t="shared" si="21"/>
        <v>38997</v>
      </c>
      <c r="P74" s="67">
        <f t="shared" si="21"/>
        <v>39001</v>
      </c>
      <c r="Q74" s="67">
        <f t="shared" si="21"/>
        <v>39004</v>
      </c>
      <c r="R74" s="67">
        <f t="shared" si="21"/>
        <v>39008</v>
      </c>
      <c r="S74" s="67">
        <f t="shared" si="21"/>
        <v>39011</v>
      </c>
      <c r="T74" s="106">
        <f t="shared" si="21"/>
        <v>39015</v>
      </c>
      <c r="U74" s="110"/>
    </row>
    <row r="75" spans="4:21" ht="15.75" thickBot="1">
      <c r="D75" s="92">
        <f>'Классный журнал'!D211</f>
        <v>23</v>
      </c>
      <c r="E75" s="93" t="str">
        <f>'Классный журнал'!E211</f>
        <v>Панченко Олеся</v>
      </c>
      <c r="F75" s="98" t="str">
        <f>'Классный журнал'!F31</f>
        <v>н/у</v>
      </c>
      <c r="G75" s="98" t="str">
        <f>'Классный журнал'!G31</f>
        <v>н/у</v>
      </c>
      <c r="H75" s="98">
        <f>'Классный журнал'!H31</f>
        <v>3</v>
      </c>
      <c r="I75" s="98">
        <f>'Классный журнал'!I31</f>
        <v>3</v>
      </c>
      <c r="J75" s="98">
        <f>'Классный журнал'!J31</f>
        <v>0</v>
      </c>
      <c r="K75" s="98">
        <f>'Классный журнал'!K31</f>
        <v>2</v>
      </c>
      <c r="L75" s="98">
        <f>'Классный журнал'!L31</f>
        <v>3</v>
      </c>
      <c r="M75" s="98">
        <f>'Классный журнал'!M31</f>
        <v>0</v>
      </c>
      <c r="N75" s="98">
        <f>'Классный журнал'!N31</f>
        <v>2</v>
      </c>
      <c r="O75" s="98" t="str">
        <f>'Классный журнал'!O31</f>
        <v>н/б</v>
      </c>
      <c r="P75" s="98">
        <f>'Классный журнал'!P31</f>
        <v>1</v>
      </c>
      <c r="Q75" s="98" t="str">
        <f>'Классный журнал'!Q31</f>
        <v>н</v>
      </c>
      <c r="R75" s="98">
        <f>'Классный журнал'!R31</f>
        <v>0</v>
      </c>
      <c r="S75" s="98">
        <f>'Классный журнал'!S31</f>
        <v>0</v>
      </c>
      <c r="T75" s="107">
        <f>'Классный журнал'!T31</f>
        <v>0</v>
      </c>
      <c r="U75" s="110"/>
    </row>
    <row r="76" spans="4:21" ht="15.75" thickTop="1">
      <c r="D76" s="99"/>
      <c r="E76" s="104">
        <f>$E$7</f>
        <v>39252.58940462963</v>
      </c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108"/>
      <c r="U76" s="110"/>
    </row>
    <row r="77" spans="4:21" ht="15">
      <c r="D77" s="100"/>
      <c r="E77" s="97" t="str">
        <f aca="true" t="shared" si="22" ref="E77:T77">E8</f>
        <v>ФИЗИКА</v>
      </c>
      <c r="F77" s="67">
        <f t="shared" si="22"/>
        <v>38966</v>
      </c>
      <c r="G77" s="67">
        <f t="shared" si="22"/>
        <v>38969</v>
      </c>
      <c r="H77" s="67">
        <f t="shared" si="22"/>
        <v>38973</v>
      </c>
      <c r="I77" s="67">
        <f t="shared" si="22"/>
        <v>38976</v>
      </c>
      <c r="J77" s="67">
        <f t="shared" si="22"/>
        <v>38980</v>
      </c>
      <c r="K77" s="67">
        <f t="shared" si="22"/>
        <v>38983</v>
      </c>
      <c r="L77" s="67">
        <f t="shared" si="22"/>
        <v>38987</v>
      </c>
      <c r="M77" s="67">
        <f t="shared" si="22"/>
        <v>38990</v>
      </c>
      <c r="N77" s="67">
        <f t="shared" si="22"/>
        <v>38994</v>
      </c>
      <c r="O77" s="67">
        <f t="shared" si="22"/>
        <v>38997</v>
      </c>
      <c r="P77" s="67">
        <f t="shared" si="22"/>
        <v>39001</v>
      </c>
      <c r="Q77" s="67">
        <f t="shared" si="22"/>
        <v>39004</v>
      </c>
      <c r="R77" s="67">
        <f t="shared" si="22"/>
        <v>39008</v>
      </c>
      <c r="S77" s="67">
        <f t="shared" si="22"/>
        <v>39011</v>
      </c>
      <c r="T77" s="106">
        <f t="shared" si="22"/>
        <v>39015</v>
      </c>
      <c r="U77" s="110"/>
    </row>
    <row r="78" spans="4:21" ht="15.75" thickBot="1">
      <c r="D78" s="92">
        <f>'Классный журнал'!D212</f>
        <v>24</v>
      </c>
      <c r="E78" s="93" t="str">
        <f>'Классный журнал'!E212</f>
        <v>Перцев Владимир</v>
      </c>
      <c r="F78" s="98">
        <f>'Классный журнал'!F32</f>
        <v>4</v>
      </c>
      <c r="G78" s="98">
        <f>'Классный журнал'!G32</f>
        <v>0</v>
      </c>
      <c r="H78" s="98">
        <f>'Классный журнал'!H32</f>
        <v>4</v>
      </c>
      <c r="I78" s="98">
        <f>'Классный журнал'!I32</f>
        <v>2</v>
      </c>
      <c r="J78" s="98">
        <f>'Классный журнал'!J32</f>
        <v>0</v>
      </c>
      <c r="K78" s="98">
        <f>'Классный журнал'!K32</f>
        <v>2</v>
      </c>
      <c r="L78" s="98">
        <f>'Классный журнал'!L32</f>
        <v>3</v>
      </c>
      <c r="M78" s="98">
        <f>'Классный журнал'!M32</f>
        <v>0</v>
      </c>
      <c r="N78" s="98">
        <f>'Классный журнал'!N32</f>
        <v>3</v>
      </c>
      <c r="O78" s="98">
        <f>'Классный журнал'!O32</f>
        <v>0</v>
      </c>
      <c r="P78" s="98">
        <f>'Классный журнал'!P32</f>
        <v>3</v>
      </c>
      <c r="Q78" s="98">
        <f>'Классный журнал'!Q32</f>
        <v>0</v>
      </c>
      <c r="R78" s="98">
        <f>'Классный журнал'!R32</f>
        <v>0</v>
      </c>
      <c r="S78" s="98">
        <f>'Классный журнал'!S32</f>
        <v>3</v>
      </c>
      <c r="T78" s="107">
        <f>'Классный журнал'!T32</f>
        <v>0</v>
      </c>
      <c r="U78" s="110"/>
    </row>
    <row r="79" spans="4:21" ht="15.75" thickTop="1">
      <c r="D79" s="99"/>
      <c r="E79" s="104">
        <f>$E$7</f>
        <v>39252.58940462963</v>
      </c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108"/>
      <c r="U79" s="110"/>
    </row>
    <row r="80" spans="4:21" ht="15">
      <c r="D80" s="100"/>
      <c r="E80" s="97" t="str">
        <f aca="true" t="shared" si="23" ref="E80:T80">E8</f>
        <v>ФИЗИКА</v>
      </c>
      <c r="F80" s="67">
        <f t="shared" si="23"/>
        <v>38966</v>
      </c>
      <c r="G80" s="67">
        <f t="shared" si="23"/>
        <v>38969</v>
      </c>
      <c r="H80" s="67">
        <f t="shared" si="23"/>
        <v>38973</v>
      </c>
      <c r="I80" s="67">
        <f t="shared" si="23"/>
        <v>38976</v>
      </c>
      <c r="J80" s="67">
        <f t="shared" si="23"/>
        <v>38980</v>
      </c>
      <c r="K80" s="67">
        <f t="shared" si="23"/>
        <v>38983</v>
      </c>
      <c r="L80" s="67">
        <f t="shared" si="23"/>
        <v>38987</v>
      </c>
      <c r="M80" s="67">
        <f t="shared" si="23"/>
        <v>38990</v>
      </c>
      <c r="N80" s="67">
        <f t="shared" si="23"/>
        <v>38994</v>
      </c>
      <c r="O80" s="67">
        <f t="shared" si="23"/>
        <v>38997</v>
      </c>
      <c r="P80" s="67">
        <f t="shared" si="23"/>
        <v>39001</v>
      </c>
      <c r="Q80" s="67">
        <f t="shared" si="23"/>
        <v>39004</v>
      </c>
      <c r="R80" s="67">
        <f t="shared" si="23"/>
        <v>39008</v>
      </c>
      <c r="S80" s="67">
        <f t="shared" si="23"/>
        <v>39011</v>
      </c>
      <c r="T80" s="106">
        <f t="shared" si="23"/>
        <v>39015</v>
      </c>
      <c r="U80" s="110"/>
    </row>
    <row r="81" spans="4:21" ht="15.75" thickBot="1">
      <c r="D81" s="92">
        <f>'Классный журнал'!D213</f>
        <v>25</v>
      </c>
      <c r="E81" s="93" t="str">
        <f>'Классный журнал'!E213</f>
        <v>Плешивцев Виталий</v>
      </c>
      <c r="F81" s="98">
        <f>'Классный журнал'!F33</f>
        <v>3</v>
      </c>
      <c r="G81" s="98">
        <f>'Классный журнал'!G33</f>
        <v>3</v>
      </c>
      <c r="H81" s="98">
        <f>'Классный журнал'!H33</f>
        <v>2</v>
      </c>
      <c r="I81" s="98" t="str">
        <f>'Классный журнал'!I33</f>
        <v>н/б</v>
      </c>
      <c r="J81" s="98" t="str">
        <f>'Классный журнал'!J33</f>
        <v>н/б</v>
      </c>
      <c r="K81" s="98">
        <f>'Классный журнал'!K33</f>
        <v>0</v>
      </c>
      <c r="L81" s="98">
        <f>'Классный журнал'!L33</f>
        <v>0</v>
      </c>
      <c r="M81" s="98">
        <f>'Классный журнал'!M33</f>
        <v>3</v>
      </c>
      <c r="N81" s="98">
        <f>'Классный журнал'!N33</f>
        <v>3</v>
      </c>
      <c r="O81" s="98" t="str">
        <f>'Классный журнал'!O33</f>
        <v>н/б</v>
      </c>
      <c r="P81" s="98" t="str">
        <f>'Классный журнал'!P33</f>
        <v>н/б</v>
      </c>
      <c r="Q81" s="98" t="str">
        <f>'Классный журнал'!Q33</f>
        <v>н/б</v>
      </c>
      <c r="R81" s="98">
        <f>'Классный журнал'!R33</f>
        <v>0</v>
      </c>
      <c r="S81" s="98">
        <f>'Классный журнал'!S33</f>
        <v>0</v>
      </c>
      <c r="T81" s="107">
        <f>'Классный журнал'!T33</f>
        <v>3</v>
      </c>
      <c r="U81" s="110"/>
    </row>
    <row r="82" spans="4:21" ht="15.75" thickTop="1">
      <c r="D82" s="99"/>
      <c r="E82" s="104">
        <f>$E$7</f>
        <v>39252.58940462963</v>
      </c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108"/>
      <c r="U82" s="110"/>
    </row>
    <row r="83" spans="4:21" ht="15">
      <c r="D83" s="100"/>
      <c r="E83" s="97" t="str">
        <f aca="true" t="shared" si="24" ref="E83:T83">E8</f>
        <v>ФИЗИКА</v>
      </c>
      <c r="F83" s="67">
        <f t="shared" si="24"/>
        <v>38966</v>
      </c>
      <c r="G83" s="67">
        <f t="shared" si="24"/>
        <v>38969</v>
      </c>
      <c r="H83" s="67">
        <f t="shared" si="24"/>
        <v>38973</v>
      </c>
      <c r="I83" s="67">
        <f t="shared" si="24"/>
        <v>38976</v>
      </c>
      <c r="J83" s="67">
        <f t="shared" si="24"/>
        <v>38980</v>
      </c>
      <c r="K83" s="67">
        <f t="shared" si="24"/>
        <v>38983</v>
      </c>
      <c r="L83" s="67">
        <f t="shared" si="24"/>
        <v>38987</v>
      </c>
      <c r="M83" s="67">
        <f t="shared" si="24"/>
        <v>38990</v>
      </c>
      <c r="N83" s="67">
        <f t="shared" si="24"/>
        <v>38994</v>
      </c>
      <c r="O83" s="67">
        <f t="shared" si="24"/>
        <v>38997</v>
      </c>
      <c r="P83" s="67">
        <f t="shared" si="24"/>
        <v>39001</v>
      </c>
      <c r="Q83" s="67">
        <f t="shared" si="24"/>
        <v>39004</v>
      </c>
      <c r="R83" s="67">
        <f t="shared" si="24"/>
        <v>39008</v>
      </c>
      <c r="S83" s="67">
        <f t="shared" si="24"/>
        <v>39011</v>
      </c>
      <c r="T83" s="106">
        <f t="shared" si="24"/>
        <v>39015</v>
      </c>
      <c r="U83" s="110"/>
    </row>
    <row r="84" spans="4:21" ht="15.75" thickBot="1">
      <c r="D84" s="92">
        <f>'Классный журнал'!D214</f>
        <v>26</v>
      </c>
      <c r="E84" s="93" t="str">
        <f>'Классный журнал'!E214</f>
        <v>Савинов Александр</v>
      </c>
      <c r="F84" s="98">
        <f>'Классный журнал'!F34</f>
        <v>5</v>
      </c>
      <c r="G84" s="98">
        <f>'Классный журнал'!G34</f>
        <v>0</v>
      </c>
      <c r="H84" s="98">
        <f>'Классный журнал'!H34</f>
        <v>5</v>
      </c>
      <c r="I84" s="98">
        <f>'Классный журнал'!I34</f>
        <v>0</v>
      </c>
      <c r="J84" s="98">
        <f>'Классный журнал'!J34</f>
        <v>5</v>
      </c>
      <c r="K84" s="98">
        <f>'Классный журнал'!K34</f>
        <v>5</v>
      </c>
      <c r="L84" s="98" t="str">
        <f>'Классный журнал'!L34</f>
        <v>н</v>
      </c>
      <c r="M84" s="98" t="str">
        <f>'Классный журнал'!M34</f>
        <v>н/у</v>
      </c>
      <c r="N84" s="98" t="str">
        <f>'Классный журнал'!N34</f>
        <v>н/у</v>
      </c>
      <c r="O84" s="98" t="str">
        <f>'Классный журнал'!O34</f>
        <v>н/у</v>
      </c>
      <c r="P84" s="98" t="str">
        <f>'Классный журнал'!P34</f>
        <v>н/б</v>
      </c>
      <c r="Q84" s="98" t="str">
        <f>'Классный журнал'!Q34</f>
        <v>н/б</v>
      </c>
      <c r="R84" s="98">
        <f>'Классный журнал'!R34</f>
        <v>5</v>
      </c>
      <c r="S84" s="98">
        <f>'Классный журнал'!S34</f>
        <v>5</v>
      </c>
      <c r="T84" s="107">
        <f>'Классный журнал'!T34</f>
        <v>0</v>
      </c>
      <c r="U84" s="110"/>
    </row>
    <row r="85" spans="4:21" ht="15.75" thickTop="1">
      <c r="D85" s="99"/>
      <c r="E85" s="104">
        <f>$E$7</f>
        <v>39252.58940462963</v>
      </c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108"/>
      <c r="U85" s="110"/>
    </row>
    <row r="86" spans="4:21" ht="15">
      <c r="D86" s="100"/>
      <c r="E86" s="97" t="str">
        <f aca="true" t="shared" si="25" ref="E86:T86">E8</f>
        <v>ФИЗИКА</v>
      </c>
      <c r="F86" s="67">
        <f t="shared" si="25"/>
        <v>38966</v>
      </c>
      <c r="G86" s="67">
        <f t="shared" si="25"/>
        <v>38969</v>
      </c>
      <c r="H86" s="67">
        <f t="shared" si="25"/>
        <v>38973</v>
      </c>
      <c r="I86" s="67">
        <f t="shared" si="25"/>
        <v>38976</v>
      </c>
      <c r="J86" s="67">
        <f t="shared" si="25"/>
        <v>38980</v>
      </c>
      <c r="K86" s="67">
        <f t="shared" si="25"/>
        <v>38983</v>
      </c>
      <c r="L86" s="67">
        <f t="shared" si="25"/>
        <v>38987</v>
      </c>
      <c r="M86" s="67">
        <f t="shared" si="25"/>
        <v>38990</v>
      </c>
      <c r="N86" s="67">
        <f t="shared" si="25"/>
        <v>38994</v>
      </c>
      <c r="O86" s="67">
        <f t="shared" si="25"/>
        <v>38997</v>
      </c>
      <c r="P86" s="67">
        <f t="shared" si="25"/>
        <v>39001</v>
      </c>
      <c r="Q86" s="67">
        <f t="shared" si="25"/>
        <v>39004</v>
      </c>
      <c r="R86" s="67">
        <f t="shared" si="25"/>
        <v>39008</v>
      </c>
      <c r="S86" s="67">
        <f t="shared" si="25"/>
        <v>39011</v>
      </c>
      <c r="T86" s="106">
        <f t="shared" si="25"/>
        <v>39015</v>
      </c>
      <c r="U86" s="110"/>
    </row>
    <row r="87" spans="4:21" ht="15.75" thickBot="1">
      <c r="D87" s="92">
        <f>'Классный журнал'!D215</f>
        <v>27</v>
      </c>
      <c r="E87" s="93" t="str">
        <f>'Классный журнал'!E215</f>
        <v>Фадеева Виктория</v>
      </c>
      <c r="F87" s="98">
        <f>'Классный журнал'!F35</f>
        <v>0</v>
      </c>
      <c r="G87" s="98">
        <f>'Классный журнал'!G35</f>
        <v>2</v>
      </c>
      <c r="H87" s="98">
        <f>'Классный журнал'!H35</f>
        <v>3</v>
      </c>
      <c r="I87" s="98">
        <f>'Классный журнал'!I35</f>
        <v>0</v>
      </c>
      <c r="J87" s="98">
        <f>'Классный журнал'!J35</f>
        <v>2</v>
      </c>
      <c r="K87" s="98">
        <f>'Классный журнал'!K35</f>
        <v>0</v>
      </c>
      <c r="L87" s="98">
        <f>'Классный журнал'!L35</f>
        <v>2</v>
      </c>
      <c r="M87" s="98">
        <f>'Классный журнал'!M35</f>
        <v>0</v>
      </c>
      <c r="N87" s="98">
        <f>'Классный журнал'!N35</f>
        <v>3</v>
      </c>
      <c r="O87" s="98">
        <f>'Классный журнал'!O35</f>
        <v>0</v>
      </c>
      <c r="P87" s="98">
        <f>'Классный журнал'!P35</f>
        <v>4</v>
      </c>
      <c r="Q87" s="98">
        <f>'Классный журнал'!Q35</f>
        <v>0</v>
      </c>
      <c r="R87" s="98">
        <f>'Классный журнал'!R35</f>
        <v>0</v>
      </c>
      <c r="S87" s="98">
        <f>'Классный журнал'!S35</f>
        <v>3</v>
      </c>
      <c r="T87" s="107">
        <f>'Классный журнал'!T35</f>
        <v>0</v>
      </c>
      <c r="U87" s="110"/>
    </row>
    <row r="88" spans="4:21" ht="15.75" thickTop="1">
      <c r="D88" s="99"/>
      <c r="E88" s="104">
        <f>$E$7</f>
        <v>39252.58940462963</v>
      </c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108"/>
      <c r="U88" s="110"/>
    </row>
    <row r="89" spans="4:21" ht="15">
      <c r="D89" s="100"/>
      <c r="E89" s="97" t="str">
        <f aca="true" t="shared" si="26" ref="E89:T89">E8</f>
        <v>ФИЗИКА</v>
      </c>
      <c r="F89" s="67">
        <f t="shared" si="26"/>
        <v>38966</v>
      </c>
      <c r="G89" s="67">
        <f t="shared" si="26"/>
        <v>38969</v>
      </c>
      <c r="H89" s="67">
        <f t="shared" si="26"/>
        <v>38973</v>
      </c>
      <c r="I89" s="67">
        <f t="shared" si="26"/>
        <v>38976</v>
      </c>
      <c r="J89" s="67">
        <f t="shared" si="26"/>
        <v>38980</v>
      </c>
      <c r="K89" s="67">
        <f t="shared" si="26"/>
        <v>38983</v>
      </c>
      <c r="L89" s="67">
        <f t="shared" si="26"/>
        <v>38987</v>
      </c>
      <c r="M89" s="67">
        <f t="shared" si="26"/>
        <v>38990</v>
      </c>
      <c r="N89" s="67">
        <f t="shared" si="26"/>
        <v>38994</v>
      </c>
      <c r="O89" s="67">
        <f t="shared" si="26"/>
        <v>38997</v>
      </c>
      <c r="P89" s="67">
        <f t="shared" si="26"/>
        <v>39001</v>
      </c>
      <c r="Q89" s="67">
        <f t="shared" si="26"/>
        <v>39004</v>
      </c>
      <c r="R89" s="67">
        <f t="shared" si="26"/>
        <v>39008</v>
      </c>
      <c r="S89" s="67">
        <f t="shared" si="26"/>
        <v>39011</v>
      </c>
      <c r="T89" s="106">
        <f t="shared" si="26"/>
        <v>39015</v>
      </c>
      <c r="U89" s="110"/>
    </row>
    <row r="90" spans="4:21" ht="15.75" thickBot="1">
      <c r="D90" s="92">
        <f>'Классный журнал'!D216</f>
        <v>28</v>
      </c>
      <c r="E90" s="93" t="str">
        <f>'Классный журнал'!E216</f>
        <v>Шестопалова Алёна</v>
      </c>
      <c r="F90" s="98" t="str">
        <f>'Классный журнал'!F36</f>
        <v>н/б</v>
      </c>
      <c r="G90" s="98" t="str">
        <f>'Классный журнал'!G36</f>
        <v>н/б</v>
      </c>
      <c r="H90" s="98" t="str">
        <f>'Классный журнал'!H36</f>
        <v>н/б</v>
      </c>
      <c r="I90" s="98" t="str">
        <f>'Классный журнал'!I36</f>
        <v>н/б</v>
      </c>
      <c r="J90" s="98" t="str">
        <f>'Классный журнал'!J36</f>
        <v>н/б</v>
      </c>
      <c r="K90" s="98">
        <f>'Классный журнал'!K36</f>
        <v>0</v>
      </c>
      <c r="L90" s="98">
        <f>'Классный журнал'!L36</f>
        <v>0</v>
      </c>
      <c r="M90" s="98">
        <f>'Классный журнал'!M36</f>
        <v>3</v>
      </c>
      <c r="N90" s="98">
        <f>'Классный журнал'!N36</f>
        <v>3</v>
      </c>
      <c r="O90" s="98">
        <f>'Классный журнал'!O36</f>
        <v>3</v>
      </c>
      <c r="P90" s="98">
        <f>'Классный журнал'!P36</f>
        <v>2</v>
      </c>
      <c r="Q90" s="98">
        <f>'Классный журнал'!Q36</f>
        <v>2</v>
      </c>
      <c r="R90" s="98" t="str">
        <f>'Классный журнал'!R36</f>
        <v>н</v>
      </c>
      <c r="S90" s="98">
        <f>'Классный журнал'!S36</f>
        <v>0</v>
      </c>
      <c r="T90" s="107">
        <f>'Классный журнал'!T36</f>
        <v>0</v>
      </c>
      <c r="U90" s="110"/>
    </row>
    <row r="91" spans="4:21" ht="15.75" thickTop="1">
      <c r="D91" s="99"/>
      <c r="E91" s="104">
        <f>$E$7</f>
        <v>39252.58940462963</v>
      </c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108"/>
      <c r="U91" s="110"/>
    </row>
    <row r="92" spans="4:21" ht="15">
      <c r="D92" s="100"/>
      <c r="E92" s="97" t="str">
        <f aca="true" t="shared" si="27" ref="E92:T92">E8</f>
        <v>ФИЗИКА</v>
      </c>
      <c r="F92" s="67">
        <f t="shared" si="27"/>
        <v>38966</v>
      </c>
      <c r="G92" s="67">
        <f t="shared" si="27"/>
        <v>38969</v>
      </c>
      <c r="H92" s="67">
        <f t="shared" si="27"/>
        <v>38973</v>
      </c>
      <c r="I92" s="67">
        <f t="shared" si="27"/>
        <v>38976</v>
      </c>
      <c r="J92" s="67">
        <f t="shared" si="27"/>
        <v>38980</v>
      </c>
      <c r="K92" s="67">
        <f t="shared" si="27"/>
        <v>38983</v>
      </c>
      <c r="L92" s="67">
        <f t="shared" si="27"/>
        <v>38987</v>
      </c>
      <c r="M92" s="67">
        <f t="shared" si="27"/>
        <v>38990</v>
      </c>
      <c r="N92" s="67">
        <f t="shared" si="27"/>
        <v>38994</v>
      </c>
      <c r="O92" s="67">
        <f t="shared" si="27"/>
        <v>38997</v>
      </c>
      <c r="P92" s="67">
        <f t="shared" si="27"/>
        <v>39001</v>
      </c>
      <c r="Q92" s="67">
        <f t="shared" si="27"/>
        <v>39004</v>
      </c>
      <c r="R92" s="67">
        <f t="shared" si="27"/>
        <v>39008</v>
      </c>
      <c r="S92" s="67">
        <f t="shared" si="27"/>
        <v>39011</v>
      </c>
      <c r="T92" s="106">
        <f t="shared" si="27"/>
        <v>39015</v>
      </c>
      <c r="U92" s="110"/>
    </row>
    <row r="93" spans="4:21" ht="15.75" thickBot="1">
      <c r="D93" s="92">
        <f>'Классный журнал'!D217</f>
        <v>29</v>
      </c>
      <c r="E93" s="93" t="str">
        <f>'Классный журнал'!E217</f>
        <v>Егоров Иван</v>
      </c>
      <c r="F93" s="98">
        <f>'Классный журнал'!F37</f>
        <v>0</v>
      </c>
      <c r="G93" s="98">
        <f>'Классный журнал'!G37</f>
        <v>0</v>
      </c>
      <c r="H93" s="98">
        <f>'Классный журнал'!H37</f>
        <v>0</v>
      </c>
      <c r="I93" s="98">
        <f>'Классный журнал'!I37</f>
        <v>0</v>
      </c>
      <c r="J93" s="98">
        <f>'Классный журнал'!J37</f>
        <v>3</v>
      </c>
      <c r="K93" s="98">
        <f>'Классный журнал'!K37</f>
        <v>0</v>
      </c>
      <c r="L93" s="98">
        <f>'Классный журнал'!L37</f>
        <v>4</v>
      </c>
      <c r="M93" s="98">
        <f>'Классный журнал'!M37</f>
        <v>3</v>
      </c>
      <c r="N93" s="98">
        <f>'Классный журнал'!N37</f>
        <v>3</v>
      </c>
      <c r="O93" s="98">
        <f>'Классный журнал'!O37</f>
        <v>4</v>
      </c>
      <c r="P93" s="98">
        <f>'Классный журнал'!P37</f>
        <v>5</v>
      </c>
      <c r="Q93" s="98">
        <f>'Классный журнал'!Q37</f>
        <v>0</v>
      </c>
      <c r="R93" s="98">
        <f>'Классный журнал'!R37</f>
        <v>3</v>
      </c>
      <c r="S93" s="98">
        <f>'Классный журнал'!S37</f>
        <v>0</v>
      </c>
      <c r="T93" s="107">
        <f>'Классный журнал'!T37</f>
        <v>0</v>
      </c>
      <c r="U93" s="110"/>
    </row>
    <row r="94" spans="4:21" ht="15.75" thickTop="1">
      <c r="D94" s="99"/>
      <c r="E94" s="104">
        <f>$E$7</f>
        <v>39252.58940462963</v>
      </c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108"/>
      <c r="U94" s="110"/>
    </row>
    <row r="95" spans="4:21" ht="15">
      <c r="D95" s="100"/>
      <c r="E95" s="97" t="str">
        <f aca="true" t="shared" si="28" ref="E95:T95">E8</f>
        <v>ФИЗИКА</v>
      </c>
      <c r="F95" s="67">
        <f t="shared" si="28"/>
        <v>38966</v>
      </c>
      <c r="G95" s="67">
        <f t="shared" si="28"/>
        <v>38969</v>
      </c>
      <c r="H95" s="67">
        <f t="shared" si="28"/>
        <v>38973</v>
      </c>
      <c r="I95" s="67">
        <f t="shared" si="28"/>
        <v>38976</v>
      </c>
      <c r="J95" s="67">
        <f t="shared" si="28"/>
        <v>38980</v>
      </c>
      <c r="K95" s="67">
        <f t="shared" si="28"/>
        <v>38983</v>
      </c>
      <c r="L95" s="67">
        <f t="shared" si="28"/>
        <v>38987</v>
      </c>
      <c r="M95" s="67">
        <f t="shared" si="28"/>
        <v>38990</v>
      </c>
      <c r="N95" s="67">
        <f t="shared" si="28"/>
        <v>38994</v>
      </c>
      <c r="O95" s="67">
        <f t="shared" si="28"/>
        <v>38997</v>
      </c>
      <c r="P95" s="67">
        <f t="shared" si="28"/>
        <v>39001</v>
      </c>
      <c r="Q95" s="67">
        <f t="shared" si="28"/>
        <v>39004</v>
      </c>
      <c r="R95" s="67">
        <f t="shared" si="28"/>
        <v>39008</v>
      </c>
      <c r="S95" s="67">
        <f t="shared" si="28"/>
        <v>39011</v>
      </c>
      <c r="T95" s="106">
        <f t="shared" si="28"/>
        <v>39015</v>
      </c>
      <c r="U95" s="110"/>
    </row>
    <row r="96" spans="4:21" ht="15.75" thickBot="1">
      <c r="D96" s="92">
        <f>'Классный журнал'!D218</f>
        <v>30</v>
      </c>
      <c r="E96" s="93" t="str">
        <f>'Классный журнал'!E218</f>
        <v>Степанов Олег</v>
      </c>
      <c r="F96" s="98">
        <f>'Классный журнал'!F38</f>
        <v>0</v>
      </c>
      <c r="G96" s="98">
        <f>'Классный журнал'!G38</f>
        <v>0</v>
      </c>
      <c r="H96" s="98">
        <f>'Классный журнал'!H38</f>
        <v>0</v>
      </c>
      <c r="I96" s="98">
        <f>'Классный журнал'!I38</f>
        <v>0</v>
      </c>
      <c r="J96" s="98">
        <f>'Классный журнал'!J38</f>
        <v>0</v>
      </c>
      <c r="K96" s="98">
        <f>'Классный журнал'!K38</f>
        <v>0</v>
      </c>
      <c r="L96" s="98">
        <f>'Классный журнал'!L38</f>
        <v>0</v>
      </c>
      <c r="M96" s="98">
        <f>'Классный журнал'!M38</f>
        <v>0</v>
      </c>
      <c r="N96" s="98">
        <f>'Классный журнал'!N38</f>
        <v>0</v>
      </c>
      <c r="O96" s="98">
        <f>'Классный журнал'!O38</f>
        <v>0</v>
      </c>
      <c r="P96" s="98">
        <f>'Классный журнал'!P38</f>
        <v>0</v>
      </c>
      <c r="Q96" s="98">
        <f>'Классный журнал'!Q38</f>
        <v>0</v>
      </c>
      <c r="R96" s="98">
        <f>'Классный журнал'!R38</f>
        <v>0</v>
      </c>
      <c r="S96" s="98">
        <f>'Классный журнал'!S38</f>
        <v>0</v>
      </c>
      <c r="T96" s="107">
        <f>'Классный журнал'!T38</f>
        <v>0</v>
      </c>
      <c r="U96" s="110"/>
    </row>
    <row r="97" spans="4:21" ht="15.75" thickTop="1">
      <c r="D97" s="99"/>
      <c r="E97" s="104">
        <f>$E$7</f>
        <v>39252.58940462963</v>
      </c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108"/>
      <c r="U97" s="110"/>
    </row>
    <row r="98" spans="4:21" ht="15">
      <c r="D98" s="100"/>
      <c r="E98" s="97" t="str">
        <f aca="true" t="shared" si="29" ref="E98:T98">E8</f>
        <v>ФИЗИКА</v>
      </c>
      <c r="F98" s="67">
        <f t="shared" si="29"/>
        <v>38966</v>
      </c>
      <c r="G98" s="67">
        <f t="shared" si="29"/>
        <v>38969</v>
      </c>
      <c r="H98" s="67">
        <f t="shared" si="29"/>
        <v>38973</v>
      </c>
      <c r="I98" s="67">
        <f t="shared" si="29"/>
        <v>38976</v>
      </c>
      <c r="J98" s="67">
        <f t="shared" si="29"/>
        <v>38980</v>
      </c>
      <c r="K98" s="67">
        <f t="shared" si="29"/>
        <v>38983</v>
      </c>
      <c r="L98" s="67">
        <f t="shared" si="29"/>
        <v>38987</v>
      </c>
      <c r="M98" s="67">
        <f t="shared" si="29"/>
        <v>38990</v>
      </c>
      <c r="N98" s="67">
        <f t="shared" si="29"/>
        <v>38994</v>
      </c>
      <c r="O98" s="67">
        <f t="shared" si="29"/>
        <v>38997</v>
      </c>
      <c r="P98" s="67">
        <f t="shared" si="29"/>
        <v>39001</v>
      </c>
      <c r="Q98" s="67">
        <f t="shared" si="29"/>
        <v>39004</v>
      </c>
      <c r="R98" s="67">
        <f t="shared" si="29"/>
        <v>39008</v>
      </c>
      <c r="S98" s="67">
        <f t="shared" si="29"/>
        <v>39011</v>
      </c>
      <c r="T98" s="106">
        <f t="shared" si="29"/>
        <v>39015</v>
      </c>
      <c r="U98" s="110"/>
    </row>
    <row r="99" spans="4:21" ht="15.75" thickBot="1">
      <c r="D99" s="92">
        <f>'Классный журнал'!D219</f>
        <v>31</v>
      </c>
      <c r="E99" s="93" t="str">
        <f>'Классный журнал'!E219</f>
        <v>Сидоров Глеб</v>
      </c>
      <c r="F99" s="98">
        <f>'Классный журнал'!F39</f>
        <v>0</v>
      </c>
      <c r="G99" s="98">
        <f>'Классный журнал'!G39</f>
        <v>0</v>
      </c>
      <c r="H99" s="98">
        <f>'Классный журнал'!H39</f>
        <v>0</v>
      </c>
      <c r="I99" s="98">
        <f>'Классный журнал'!I39</f>
        <v>0</v>
      </c>
      <c r="J99" s="98">
        <f>'Классный журнал'!J39</f>
        <v>0</v>
      </c>
      <c r="K99" s="98">
        <f>'Классный журнал'!K39</f>
        <v>0</v>
      </c>
      <c r="L99" s="98">
        <f>'Классный журнал'!L39</f>
        <v>0</v>
      </c>
      <c r="M99" s="98">
        <f>'Классный журнал'!M39</f>
        <v>0</v>
      </c>
      <c r="N99" s="98">
        <f>'Классный журнал'!N39</f>
        <v>0</v>
      </c>
      <c r="O99" s="98">
        <f>'Классный журнал'!O39</f>
        <v>0</v>
      </c>
      <c r="P99" s="98">
        <f>'Классный журнал'!P39</f>
        <v>0</v>
      </c>
      <c r="Q99" s="98">
        <f>'Классный журнал'!Q39</f>
        <v>0</v>
      </c>
      <c r="R99" s="98">
        <f>'Классный журнал'!R39</f>
        <v>0</v>
      </c>
      <c r="S99" s="98">
        <f>'Классный журнал'!S39</f>
        <v>0</v>
      </c>
      <c r="T99" s="107">
        <f>'Классный журнал'!T39</f>
        <v>0</v>
      </c>
      <c r="U99" s="110"/>
    </row>
    <row r="100" spans="4:21" ht="15.75" thickTop="1">
      <c r="D100" s="99"/>
      <c r="E100" s="104">
        <f>$E$7</f>
        <v>39252.58940462963</v>
      </c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108"/>
      <c r="U100" s="110"/>
    </row>
    <row r="101" spans="4:21" ht="15">
      <c r="D101" s="100"/>
      <c r="E101" s="97" t="str">
        <f aca="true" t="shared" si="30" ref="E101:T101">E8</f>
        <v>ФИЗИКА</v>
      </c>
      <c r="F101" s="67">
        <f t="shared" si="30"/>
        <v>38966</v>
      </c>
      <c r="G101" s="67">
        <f t="shared" si="30"/>
        <v>38969</v>
      </c>
      <c r="H101" s="67">
        <f t="shared" si="30"/>
        <v>38973</v>
      </c>
      <c r="I101" s="67">
        <f t="shared" si="30"/>
        <v>38976</v>
      </c>
      <c r="J101" s="67">
        <f t="shared" si="30"/>
        <v>38980</v>
      </c>
      <c r="K101" s="67">
        <f t="shared" si="30"/>
        <v>38983</v>
      </c>
      <c r="L101" s="67">
        <f t="shared" si="30"/>
        <v>38987</v>
      </c>
      <c r="M101" s="67">
        <f t="shared" si="30"/>
        <v>38990</v>
      </c>
      <c r="N101" s="67">
        <f t="shared" si="30"/>
        <v>38994</v>
      </c>
      <c r="O101" s="67">
        <f t="shared" si="30"/>
        <v>38997</v>
      </c>
      <c r="P101" s="67">
        <f t="shared" si="30"/>
        <v>39001</v>
      </c>
      <c r="Q101" s="67">
        <f t="shared" si="30"/>
        <v>39004</v>
      </c>
      <c r="R101" s="67">
        <f t="shared" si="30"/>
        <v>39008</v>
      </c>
      <c r="S101" s="67">
        <f t="shared" si="30"/>
        <v>39011</v>
      </c>
      <c r="T101" s="106">
        <f t="shared" si="30"/>
        <v>39015</v>
      </c>
      <c r="U101" s="110"/>
    </row>
    <row r="102" spans="4:21" ht="15.75" thickBot="1">
      <c r="D102" s="92">
        <f>'Классный журнал'!D220</f>
        <v>32</v>
      </c>
      <c r="E102" s="93" t="str">
        <f>'Классный журнал'!E220</f>
        <v>Есин Пётр</v>
      </c>
      <c r="F102" s="98">
        <f>'Классный журнал'!F40</f>
        <v>0</v>
      </c>
      <c r="G102" s="98">
        <f>'Классный журнал'!G40</f>
        <v>0</v>
      </c>
      <c r="H102" s="98">
        <f>'Классный журнал'!H40</f>
        <v>0</v>
      </c>
      <c r="I102" s="98">
        <f>'Классный журнал'!I40</f>
        <v>0</v>
      </c>
      <c r="J102" s="98">
        <f>'Классный журнал'!J40</f>
        <v>0</v>
      </c>
      <c r="K102" s="98">
        <f>'Классный журнал'!K40</f>
        <v>0</v>
      </c>
      <c r="L102" s="98">
        <f>'Классный журнал'!L40</f>
        <v>0</v>
      </c>
      <c r="M102" s="98">
        <f>'Классный журнал'!M40</f>
        <v>0</v>
      </c>
      <c r="N102" s="98">
        <f>'Классный журнал'!N40</f>
        <v>0</v>
      </c>
      <c r="O102" s="98">
        <f>'Классный журнал'!O40</f>
        <v>0</v>
      </c>
      <c r="P102" s="98">
        <f>'Классный журнал'!P40</f>
        <v>0</v>
      </c>
      <c r="Q102" s="98">
        <f>'Классный журнал'!Q40</f>
        <v>0</v>
      </c>
      <c r="R102" s="98">
        <f>'Классный журнал'!R40</f>
        <v>0</v>
      </c>
      <c r="S102" s="98">
        <f>'Классный журнал'!S40</f>
        <v>0</v>
      </c>
      <c r="T102" s="107">
        <f>'Классный журнал'!T40</f>
        <v>0</v>
      </c>
      <c r="U102" s="110"/>
    </row>
    <row r="103" spans="4:21" ht="15.75" thickTop="1">
      <c r="D103" s="99"/>
      <c r="E103" s="104">
        <f>$E$7</f>
        <v>39252.58940462963</v>
      </c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108"/>
      <c r="U103" s="110"/>
    </row>
    <row r="104" spans="4:21" ht="15">
      <c r="D104" s="100"/>
      <c r="E104" s="97" t="str">
        <f aca="true" t="shared" si="31" ref="E104:T104">E8</f>
        <v>ФИЗИКА</v>
      </c>
      <c r="F104" s="67">
        <f t="shared" si="31"/>
        <v>38966</v>
      </c>
      <c r="G104" s="67">
        <f t="shared" si="31"/>
        <v>38969</v>
      </c>
      <c r="H104" s="67">
        <f t="shared" si="31"/>
        <v>38973</v>
      </c>
      <c r="I104" s="67">
        <f t="shared" si="31"/>
        <v>38976</v>
      </c>
      <c r="J104" s="67">
        <f t="shared" si="31"/>
        <v>38980</v>
      </c>
      <c r="K104" s="67">
        <f t="shared" si="31"/>
        <v>38983</v>
      </c>
      <c r="L104" s="67">
        <f t="shared" si="31"/>
        <v>38987</v>
      </c>
      <c r="M104" s="67">
        <f t="shared" si="31"/>
        <v>38990</v>
      </c>
      <c r="N104" s="67">
        <f t="shared" si="31"/>
        <v>38994</v>
      </c>
      <c r="O104" s="67">
        <f t="shared" si="31"/>
        <v>38997</v>
      </c>
      <c r="P104" s="67">
        <f t="shared" si="31"/>
        <v>39001</v>
      </c>
      <c r="Q104" s="67">
        <f t="shared" si="31"/>
        <v>39004</v>
      </c>
      <c r="R104" s="67">
        <f t="shared" si="31"/>
        <v>39008</v>
      </c>
      <c r="S104" s="67">
        <f t="shared" si="31"/>
        <v>39011</v>
      </c>
      <c r="T104" s="106">
        <f t="shared" si="31"/>
        <v>39015</v>
      </c>
      <c r="U104" s="110"/>
    </row>
    <row r="105" spans="4:21" ht="15.75" thickBot="1">
      <c r="D105" s="92">
        <f>'Классный журнал'!D221</f>
        <v>33</v>
      </c>
      <c r="E105" s="93" t="str">
        <f>'Классный журнал'!E221</f>
        <v>Котова Мария</v>
      </c>
      <c r="F105" s="98">
        <f>'Классный журнал'!F41</f>
        <v>0</v>
      </c>
      <c r="G105" s="98">
        <f>'Классный журнал'!G41</f>
        <v>0</v>
      </c>
      <c r="H105" s="98">
        <f>'Классный журнал'!H41</f>
        <v>0</v>
      </c>
      <c r="I105" s="98">
        <f>'Классный журнал'!I41</f>
        <v>0</v>
      </c>
      <c r="J105" s="98">
        <f>'Классный журнал'!J41</f>
        <v>0</v>
      </c>
      <c r="K105" s="98">
        <f>'Классный журнал'!K41</f>
        <v>0</v>
      </c>
      <c r="L105" s="98">
        <f>'Классный журнал'!L41</f>
        <v>0</v>
      </c>
      <c r="M105" s="98">
        <f>'Классный журнал'!M41</f>
        <v>0</v>
      </c>
      <c r="N105" s="98">
        <f>'Классный журнал'!N41</f>
        <v>0</v>
      </c>
      <c r="O105" s="98">
        <f>'Классный журнал'!O41</f>
        <v>0</v>
      </c>
      <c r="P105" s="98">
        <f>'Классный журнал'!P41</f>
        <v>0</v>
      </c>
      <c r="Q105" s="98">
        <f>'Классный журнал'!Q41</f>
        <v>0</v>
      </c>
      <c r="R105" s="98">
        <f>'Классный журнал'!R41</f>
        <v>0</v>
      </c>
      <c r="S105" s="98">
        <f>'Классный журнал'!S41</f>
        <v>0</v>
      </c>
      <c r="T105" s="107">
        <f>'Классный журнал'!T41</f>
        <v>0</v>
      </c>
      <c r="U105" s="110"/>
    </row>
    <row r="106" spans="4:21" ht="15.75" thickTop="1">
      <c r="D106" s="99"/>
      <c r="E106" s="104">
        <f>$E$7</f>
        <v>39252.58940462963</v>
      </c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108"/>
      <c r="U106" s="110"/>
    </row>
    <row r="107" spans="4:21" ht="15">
      <c r="D107" s="100"/>
      <c r="E107" s="97" t="str">
        <f aca="true" t="shared" si="32" ref="E107:T107">E8</f>
        <v>ФИЗИКА</v>
      </c>
      <c r="F107" s="67">
        <f t="shared" si="32"/>
        <v>38966</v>
      </c>
      <c r="G107" s="67">
        <f t="shared" si="32"/>
        <v>38969</v>
      </c>
      <c r="H107" s="67">
        <f t="shared" si="32"/>
        <v>38973</v>
      </c>
      <c r="I107" s="67">
        <f t="shared" si="32"/>
        <v>38976</v>
      </c>
      <c r="J107" s="67">
        <f t="shared" si="32"/>
        <v>38980</v>
      </c>
      <c r="K107" s="67">
        <f t="shared" si="32"/>
        <v>38983</v>
      </c>
      <c r="L107" s="67">
        <f t="shared" si="32"/>
        <v>38987</v>
      </c>
      <c r="M107" s="67">
        <f t="shared" si="32"/>
        <v>38990</v>
      </c>
      <c r="N107" s="67">
        <f t="shared" si="32"/>
        <v>38994</v>
      </c>
      <c r="O107" s="67">
        <f t="shared" si="32"/>
        <v>38997</v>
      </c>
      <c r="P107" s="67">
        <f t="shared" si="32"/>
        <v>39001</v>
      </c>
      <c r="Q107" s="67">
        <f t="shared" si="32"/>
        <v>39004</v>
      </c>
      <c r="R107" s="67">
        <f t="shared" si="32"/>
        <v>39008</v>
      </c>
      <c r="S107" s="67">
        <f t="shared" si="32"/>
        <v>39011</v>
      </c>
      <c r="T107" s="106">
        <f t="shared" si="32"/>
        <v>39015</v>
      </c>
      <c r="U107" s="110"/>
    </row>
    <row r="108" spans="4:21" ht="15.75" thickBot="1">
      <c r="D108" s="101">
        <f>'Классный журнал'!D222</f>
        <v>34</v>
      </c>
      <c r="E108" s="102" t="str">
        <f>'Классный журнал'!E222</f>
        <v>Бузгин Иван</v>
      </c>
      <c r="F108" s="103">
        <f>'Классный журнал'!F42</f>
        <v>0</v>
      </c>
      <c r="G108" s="103">
        <f>'Классный журнал'!G42</f>
        <v>0</v>
      </c>
      <c r="H108" s="103">
        <f>'Классный журнал'!H42</f>
        <v>0</v>
      </c>
      <c r="I108" s="103">
        <f>'Классный журнал'!I42</f>
        <v>0</v>
      </c>
      <c r="J108" s="103">
        <f>'Классный журнал'!J42</f>
        <v>0</v>
      </c>
      <c r="K108" s="103">
        <f>'Классный журнал'!K42</f>
        <v>0</v>
      </c>
      <c r="L108" s="103">
        <f>'Классный журнал'!L42</f>
        <v>0</v>
      </c>
      <c r="M108" s="103">
        <f>'Классный журнал'!M42</f>
        <v>0</v>
      </c>
      <c r="N108" s="103">
        <f>'Классный журнал'!N42</f>
        <v>0</v>
      </c>
      <c r="O108" s="103">
        <f>'Классный журнал'!O42</f>
        <v>0</v>
      </c>
      <c r="P108" s="103">
        <f>'Классный журнал'!P42</f>
        <v>0</v>
      </c>
      <c r="Q108" s="103">
        <f>'Классный журнал'!Q42</f>
        <v>0</v>
      </c>
      <c r="R108" s="103">
        <f>'Классный журнал'!R42</f>
        <v>0</v>
      </c>
      <c r="S108" s="103">
        <f>'Классный журнал'!S42</f>
        <v>0</v>
      </c>
      <c r="T108" s="109">
        <f>'Классный журнал'!T42</f>
        <v>0</v>
      </c>
      <c r="U108" s="110"/>
    </row>
    <row r="109" spans="4:21" ht="15.75" thickTop="1">
      <c r="D109" s="99"/>
      <c r="E109" s="104">
        <f>$E$7</f>
        <v>39252.58940462963</v>
      </c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108"/>
      <c r="U109" s="110"/>
    </row>
    <row r="110" spans="4:21" ht="15">
      <c r="D110" s="100"/>
      <c r="E110" s="97" t="str">
        <f aca="true" t="shared" si="33" ref="E110:T110">E8</f>
        <v>ФИЗИКА</v>
      </c>
      <c r="F110" s="67">
        <f t="shared" si="33"/>
        <v>38966</v>
      </c>
      <c r="G110" s="67">
        <f t="shared" si="33"/>
        <v>38969</v>
      </c>
      <c r="H110" s="67">
        <f t="shared" si="33"/>
        <v>38973</v>
      </c>
      <c r="I110" s="67">
        <f t="shared" si="33"/>
        <v>38976</v>
      </c>
      <c r="J110" s="67">
        <f t="shared" si="33"/>
        <v>38980</v>
      </c>
      <c r="K110" s="67">
        <f t="shared" si="33"/>
        <v>38983</v>
      </c>
      <c r="L110" s="67">
        <f t="shared" si="33"/>
        <v>38987</v>
      </c>
      <c r="M110" s="67">
        <f t="shared" si="33"/>
        <v>38990</v>
      </c>
      <c r="N110" s="67">
        <f t="shared" si="33"/>
        <v>38994</v>
      </c>
      <c r="O110" s="67">
        <f t="shared" si="33"/>
        <v>38997</v>
      </c>
      <c r="P110" s="67">
        <f t="shared" si="33"/>
        <v>39001</v>
      </c>
      <c r="Q110" s="67">
        <f t="shared" si="33"/>
        <v>39004</v>
      </c>
      <c r="R110" s="67">
        <f t="shared" si="33"/>
        <v>39008</v>
      </c>
      <c r="S110" s="67">
        <f t="shared" si="33"/>
        <v>39011</v>
      </c>
      <c r="T110" s="106">
        <f t="shared" si="33"/>
        <v>39015</v>
      </c>
      <c r="U110" s="110"/>
    </row>
    <row r="111" spans="4:21" ht="15.75" thickBot="1">
      <c r="D111" s="92">
        <f>'Классный журнал'!D223</f>
        <v>35</v>
      </c>
      <c r="E111" s="93">
        <f>'Классный журнал'!E223</f>
      </c>
      <c r="F111" s="98">
        <f>'Классный журнал'!F43</f>
        <v>0</v>
      </c>
      <c r="G111" s="98">
        <f>'Классный журнал'!G43</f>
        <v>0</v>
      </c>
      <c r="H111" s="98">
        <f>'Классный журнал'!H43</f>
        <v>0</v>
      </c>
      <c r="I111" s="98">
        <f>'Классный журнал'!I43</f>
        <v>0</v>
      </c>
      <c r="J111" s="98">
        <f>'Классный журнал'!J43</f>
        <v>0</v>
      </c>
      <c r="K111" s="98">
        <f>'Классный журнал'!K43</f>
        <v>0</v>
      </c>
      <c r="L111" s="98">
        <f>'Классный журнал'!L43</f>
        <v>0</v>
      </c>
      <c r="M111" s="98">
        <f>'Классный журнал'!M43</f>
        <v>0</v>
      </c>
      <c r="N111" s="98">
        <f>'Классный журнал'!N43</f>
        <v>0</v>
      </c>
      <c r="O111" s="98">
        <f>'Классный журнал'!O43</f>
        <v>0</v>
      </c>
      <c r="P111" s="98">
        <f>'Классный журнал'!P43</f>
        <v>0</v>
      </c>
      <c r="Q111" s="98">
        <f>'Классный журнал'!Q43</f>
        <v>0</v>
      </c>
      <c r="R111" s="98">
        <f>'Классный журнал'!R43</f>
        <v>0</v>
      </c>
      <c r="S111" s="98">
        <f>'Классный журнал'!S43</f>
        <v>0</v>
      </c>
      <c r="T111" s="107">
        <f>'Классный журнал'!T43</f>
        <v>0</v>
      </c>
      <c r="U111" s="110"/>
    </row>
    <row r="112" ht="13.5" thickTop="1"/>
  </sheetData>
  <dataValidations count="1">
    <dataValidation type="list" allowBlank="1" showInputMessage="1" showErrorMessage="1" sqref="G19:S19 G13:S14 G10:S11 G16:S16 G22:S22">
      <formula1>"1,2,3,4,5,н,н/у,н/б"</formula1>
    </dataValidation>
  </dataValidations>
  <printOptions horizontalCentered="1" verticalCentered="1"/>
  <pageMargins left="0.3937007874015748" right="0.3937007874015748" top="0.2362204724409449" bottom="0.11811023622047245" header="0" footer="0"/>
  <pageSetup horizontalDpi="600" verticalDpi="600" orientation="landscape" paperSize="9" scale="67" r:id="rId1"/>
  <rowBreaks count="1" manualBreakCount="1">
    <brk id="5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Савельев Г.В.</dc:creator>
  <cp:keywords/>
  <dc:description/>
  <cp:lastModifiedBy>администратор</cp:lastModifiedBy>
  <cp:lastPrinted>2007-02-04T18:49:57Z</cp:lastPrinted>
  <dcterms:created xsi:type="dcterms:W3CDTF">2007-01-04T05:10:40Z</dcterms:created>
  <dcterms:modified xsi:type="dcterms:W3CDTF">2007-06-19T08:08:57Z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